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3\15\"/>
    </mc:Choice>
  </mc:AlternateContent>
  <xr:revisionPtr revIDLastSave="0" documentId="13_ncr:1_{AAE9F23B-A3A8-47CD-86A1-4DB1F45B08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4" i="4" l="1"/>
  <c r="AA54" i="4"/>
  <c r="Z54" i="4"/>
  <c r="Y54" i="4"/>
  <c r="X54" i="4"/>
  <c r="W54" i="4"/>
  <c r="V54" i="4"/>
  <c r="U54" i="4"/>
  <c r="AC54" i="4"/>
  <c r="AD54" i="4"/>
  <c r="AC53" i="4"/>
  <c r="AC52" i="4"/>
  <c r="AC50" i="4" s="1"/>
  <c r="AC48" i="4"/>
  <c r="AC45" i="4"/>
  <c r="AC41" i="4"/>
  <c r="AC40" i="4"/>
  <c r="AC39" i="4"/>
  <c r="AC38" i="4" s="1"/>
  <c r="AC37" i="4" s="1"/>
  <c r="AC36" i="4"/>
  <c r="AC32" i="4"/>
  <c r="AC31" i="4"/>
  <c r="AC29" i="4"/>
  <c r="AC27" i="4"/>
  <c r="AC26" i="4"/>
  <c r="AC25" i="4"/>
  <c r="AC24" i="4"/>
  <c r="AC20" i="4"/>
  <c r="AC19" i="4"/>
  <c r="AC18" i="4"/>
  <c r="AC17" i="4"/>
  <c r="AC16" i="4"/>
  <c r="AC12" i="4"/>
  <c r="AC11" i="4"/>
  <c r="AC10" i="4"/>
  <c r="AC9" i="4"/>
  <c r="AC23" i="4" l="1"/>
  <c r="AC22" i="4" s="1"/>
  <c r="AC7" i="4" s="1"/>
  <c r="AC8" i="4" s="1"/>
  <c r="AE54" i="4" l="1"/>
  <c r="AF10" i="4" l="1"/>
  <c r="V28" i="4"/>
  <c r="V26" i="4"/>
  <c r="V18" i="4"/>
  <c r="AB28" i="4"/>
  <c r="AB26" i="4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D50" i="4" l="1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Y16" i="4"/>
  <c r="Y15" i="4"/>
  <c r="Y14" i="4"/>
  <c r="Y13" i="4"/>
  <c r="Y12" i="4"/>
  <c r="Y11" i="4"/>
  <c r="AP12" i="4" l="1"/>
  <c r="AQ12" i="4"/>
  <c r="AA28" i="4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T22" i="4" l="1"/>
  <c r="T7" i="4" s="1"/>
  <c r="T8" i="4" s="1"/>
  <c r="S22" i="4"/>
  <c r="S7" i="4"/>
  <c r="S8" i="4" s="1"/>
  <c r="AG52" i="4" l="1"/>
  <c r="AG53" i="4"/>
  <c r="AF52" i="4"/>
  <c r="AF35" i="4"/>
  <c r="AQ35" i="4" s="1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AQ62" i="4" s="1"/>
  <c r="Y62" i="4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AQ58" i="4" s="1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AQ56" i="4" s="1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AO55" i="4" l="1"/>
  <c r="AF54" i="4"/>
  <c r="M37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45" i="4" l="1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63" i="4" s="1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<sst xmlns="http://schemas.openxmlformats.org/spreadsheetml/2006/main" count="131" uniqueCount="107">
  <si>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</si>
  <si>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</si>
  <si>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</si>
  <si>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</si>
  <si>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</si>
  <si>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</si>
  <si>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</si>
  <si>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</si>
  <si>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</si>
  <si>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</si>
  <si>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</si>
  <si>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</si>
  <si>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</si>
  <si>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</si>
  <si>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</si>
  <si>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</si>
  <si>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</si>
  <si>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</si>
  <si>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</si>
  <si>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</si>
  <si>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</si>
  <si>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</si>
  <si>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</si>
  <si>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</si>
  <si>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</si>
  <si>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</si>
  <si>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</si>
  <si>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</si>
  <si>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</si>
  <si>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</si>
  <si>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</si>
  <si>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</si>
  <si>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</si>
  <si>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</si>
  <si>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</si>
  <si>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</si>
  <si>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</si>
  <si>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</si>
  <si>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</si>
  <si>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</si>
  <si>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</si>
  <si>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</si>
  <si>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</si>
  <si>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</si>
  <si>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</si>
  <si>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</si>
  <si>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</si>
  <si>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</si>
  <si>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</si>
  <si>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</si>
  <si>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</si>
  <si>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</si>
  <si>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</si>
  <si>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</si>
  <si>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</si>
  <si>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</si>
  <si>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</si>
  <si>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</si>
  <si>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</si>
  <si>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</si>
  <si>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</si>
  <si>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</si>
  <si>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</si>
  <si>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</si>
  <si>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</si>
  <si>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</si>
  <si>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</si>
  <si>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</si>
  <si>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</si>
  <si>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</si>
  <si>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</si>
  <si>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</si>
  <si>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</si>
  <si>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</si>
  <si>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</si>
  <si>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</si>
  <si>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</si>
  <si>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</si>
  <si>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</si>
  <si>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</si>
  <si>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</si>
  <si>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</si>
  <si>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</si>
  <si>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</si>
  <si>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</si>
  <si>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</si>
  <si>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</si>
  <si>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</si>
  <si>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</si>
  <si>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</si>
  <si>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</si>
  <si>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</si>
  <si>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</si>
  <si>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</si>
  <si>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</si>
  <si>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</si>
  <si>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</si>
  <si>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</si>
  <si>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откл.+- от плана за 3 месяца 2024 года</t>
  </si>
  <si>
    <t>Исполнение бюджета Благодарненского муниципального округа Ставропольского края по доходам по состоянию на 14.03.2024 года</t>
  </si>
  <si>
    <t>Исполнено с 01.01.2023 по 14.03.2023 год</t>
  </si>
  <si>
    <r>
      <t>Исполнено с 01.01.2023 года по 14.03.2023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</si>
  <si>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01.03.2024 по 07.03.2024 (неделя) П</t>
  </si>
  <si>
    <t>с 11.03.2024 по 14.03.2024 (неделя) Т</t>
  </si>
  <si>
    <t>Исполнение с 01.01.2024 по 07.03.2024
(53,08%)</t>
  </si>
  <si>
    <r>
      <t xml:space="preserve">Исполнение с 01.01.2024 по 14.03.2024
</t>
    </r>
    <r>
      <rPr>
        <b/>
        <sz val="14"/>
        <rFont val="Times New Roman"/>
        <family val="1"/>
        <charset val="204"/>
      </rPr>
      <t>(53,08%)</t>
    </r>
  </si>
  <si>
    <t>откл.+- от исполнения на 14.03.2023 г  (в сопоставимых условиях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</si>
</sst>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3" fillId="13" borderId="1" xfId="1" applyNumberFormat="1" applyFont="1" applyFill="1" applyBorder="1" applyAlignment="1" applyProtection="1">
      <alignment horizontal="right"/>
      <protection hidden="1"/>
    </xf>
    <xf numFmtId="164" fontId="4" fillId="13" borderId="1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A4" sqref="AA4:AB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3" style="1" hidden="1" customWidth="1"/>
    <col min="23" max="23" width="22.5703125" style="1" hidden="1" customWidth="1"/>
    <col min="24" max="24" width="23.57031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19.42578125" style="1" hidden="1" customWidth="1"/>
    <col min="32" max="32" width="24.57031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7" t="s">
        <v>99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9.7320879506129909</v>
      </c>
      <c r="U3" s="104"/>
      <c r="V3" s="106">
        <f>V8/S8%</f>
        <v>10.339440836569793</v>
      </c>
      <c r="W3" s="106"/>
      <c r="X3" s="105"/>
      <c r="Y3" s="80"/>
      <c r="Z3" s="80">
        <f>U3-Y63</f>
        <v>-466003456.58222359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8" t="s">
        <v>34</v>
      </c>
      <c r="J4" s="131" t="s">
        <v>45</v>
      </c>
      <c r="K4" s="131" t="s">
        <v>51</v>
      </c>
      <c r="L4" s="136" t="s">
        <v>56</v>
      </c>
      <c r="M4" s="131" t="s">
        <v>54</v>
      </c>
      <c r="N4" s="131" t="s">
        <v>53</v>
      </c>
      <c r="O4" s="136" t="s">
        <v>50</v>
      </c>
      <c r="P4" s="131" t="s">
        <v>63</v>
      </c>
      <c r="Q4" s="136" t="s">
        <v>65</v>
      </c>
      <c r="R4" s="131" t="s">
        <v>64</v>
      </c>
      <c r="S4" s="130" t="s">
        <v>82</v>
      </c>
      <c r="T4" s="136" t="s">
        <v>81</v>
      </c>
      <c r="U4" s="131" t="s">
        <v>83</v>
      </c>
      <c r="V4" s="136" t="s">
        <v>100</v>
      </c>
      <c r="W4" s="139" t="s">
        <v>75</v>
      </c>
      <c r="X4" s="127" t="s">
        <v>80</v>
      </c>
      <c r="Y4" s="131" t="s">
        <v>101</v>
      </c>
      <c r="Z4" s="132" t="s">
        <v>66</v>
      </c>
      <c r="AA4" s="141" t="s">
        <v>96</v>
      </c>
      <c r="AB4" s="142"/>
      <c r="AC4" s="124" t="s">
        <v>57</v>
      </c>
      <c r="AD4" s="124"/>
      <c r="AE4" s="134" t="s">
        <v>104</v>
      </c>
      <c r="AF4" s="131" t="s">
        <v>105</v>
      </c>
      <c r="AG4" s="128" t="s">
        <v>43</v>
      </c>
      <c r="AH4" s="130" t="s">
        <v>67</v>
      </c>
      <c r="AI4" s="130"/>
      <c r="AJ4" s="124" t="s">
        <v>95</v>
      </c>
      <c r="AK4" s="124"/>
      <c r="AL4" s="124" t="s">
        <v>52</v>
      </c>
      <c r="AM4" s="124"/>
      <c r="AN4" s="124" t="s">
        <v>98</v>
      </c>
      <c r="AO4" s="124"/>
      <c r="AP4" s="124" t="s">
        <v>106</v>
      </c>
      <c r="AQ4" s="124"/>
      <c r="AR4" s="124" t="s">
        <v>55</v>
      </c>
      <c r="AS4" s="124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8"/>
      <c r="J5" s="131"/>
      <c r="K5" s="131"/>
      <c r="L5" s="136"/>
      <c r="M5" s="131"/>
      <c r="N5" s="131"/>
      <c r="O5" s="136"/>
      <c r="P5" s="131"/>
      <c r="Q5" s="136"/>
      <c r="R5" s="131"/>
      <c r="S5" s="130"/>
      <c r="T5" s="136"/>
      <c r="U5" s="131"/>
      <c r="V5" s="136"/>
      <c r="W5" s="140"/>
      <c r="X5" s="127"/>
      <c r="Y5" s="131"/>
      <c r="Z5" s="133"/>
      <c r="AA5" s="143"/>
      <c r="AB5" s="144"/>
      <c r="AC5" s="79" t="s">
        <v>102</v>
      </c>
      <c r="AD5" s="79" t="s">
        <v>103</v>
      </c>
      <c r="AE5" s="135"/>
      <c r="AF5" s="131"/>
      <c r="AG5" s="129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5" t="s">
        <v>8</v>
      </c>
      <c r="C7" s="125"/>
      <c r="D7" s="125"/>
      <c r="E7" s="125"/>
      <c r="F7" s="125"/>
      <c r="G7" s="125"/>
      <c r="H7" s="125"/>
      <c r="I7" s="125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120617091.01554319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48453777.659999996</v>
      </c>
      <c r="W7" s="44">
        <f>V7/S7%</f>
        <v>11.82271074645651</v>
      </c>
      <c r="X7" s="44">
        <f>X9+X22</f>
        <v>0</v>
      </c>
      <c r="Y7" s="44">
        <f>Y9+Y22</f>
        <v>63216016.622223601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126380052.81</v>
      </c>
      <c r="AC7" s="44">
        <f t="shared" si="2"/>
        <v>6068349.9700000007</v>
      </c>
      <c r="AD7" s="44">
        <f t="shared" ref="AD7" si="3">AD9+AD22</f>
        <v>5186600.0599999996</v>
      </c>
      <c r="AE7" s="44">
        <v>81491321.179999992</v>
      </c>
      <c r="AF7" s="44">
        <f t="shared" si="2"/>
        <v>86677921.239999995</v>
      </c>
      <c r="AG7" s="44">
        <f>AD7-AC7</f>
        <v>-881749.91000000108</v>
      </c>
      <c r="AH7" s="44">
        <f t="shared" ref="AH7:AH63" si="4">AF7-Z7</f>
        <v>-313737178.40999997</v>
      </c>
      <c r="AI7" s="44">
        <f t="shared" ref="AI7:AI28" si="5">AF7/Z7*100</f>
        <v>21.647016137943989</v>
      </c>
      <c r="AJ7" s="44">
        <f>AF7-AA7</f>
        <v>-490896714.60000002</v>
      </c>
      <c r="AK7" s="44">
        <f>AF7/AA7%</f>
        <v>15.007224324167094</v>
      </c>
      <c r="AL7" s="44" t="e">
        <f>AF7-#REF!</f>
        <v>#REF!</v>
      </c>
      <c r="AM7" s="44" t="e">
        <f>IF(#REF!=0,0,AF7/#REF!*100)</f>
        <v>#REF!</v>
      </c>
      <c r="AN7" s="44">
        <f>AF7-AB7</f>
        <v>-39702131.570000008</v>
      </c>
      <c r="AO7" s="44">
        <f>AF7/AB7*100</f>
        <v>68.585128200818005</v>
      </c>
      <c r="AP7" s="44">
        <f>AF7-Y7</f>
        <v>23461904.617776394</v>
      </c>
      <c r="AQ7" s="44">
        <f>AF7/Y7%</f>
        <v>137.11386112475861</v>
      </c>
      <c r="AR7" s="44">
        <f>AF7-M7</f>
        <v>-33939169.775543198</v>
      </c>
      <c r="AS7" s="44">
        <f>IF(M7=0,0,AF7/M7*100)</f>
        <v>71.862055791770288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38264309.959999993</v>
      </c>
      <c r="W8" s="44">
        <f t="shared" ref="W8:W9" si="7">V8/S8%</f>
        <v>10.339440836569793</v>
      </c>
      <c r="X8" s="52">
        <f t="shared" ref="X8:AC8" si="8">X7-X37-X53</f>
        <v>0</v>
      </c>
      <c r="Y8" s="52">
        <f t="shared" si="8"/>
        <v>53026548.922223598</v>
      </c>
      <c r="Z8" s="52">
        <f t="shared" si="8"/>
        <v>372608810</v>
      </c>
      <c r="AA8" s="52">
        <f t="shared" si="8"/>
        <v>545150607.50999999</v>
      </c>
      <c r="AB8" s="52">
        <f t="shared" si="8"/>
        <v>114521193.66000001</v>
      </c>
      <c r="AC8" s="52">
        <f t="shared" si="8"/>
        <v>4671194.6900000004</v>
      </c>
      <c r="AD8" s="52">
        <f t="shared" ref="AD8" si="9">AD7-AD37-AD53</f>
        <v>3708799.8199999994</v>
      </c>
      <c r="AE8" s="52">
        <v>72688262.599999994</v>
      </c>
      <c r="AF8" s="52">
        <f>AF7-AF37-AF53</f>
        <v>76397062.419999987</v>
      </c>
      <c r="AG8" s="51">
        <f t="shared" ref="AG8:AG63" si="10">AD8-AC8</f>
        <v>-962394.87000000104</v>
      </c>
      <c r="AH8" s="64">
        <f t="shared" si="4"/>
        <v>-296211747.58000004</v>
      </c>
      <c r="AI8" s="64">
        <f t="shared" si="5"/>
        <v>20.503289339830687</v>
      </c>
      <c r="AJ8" s="51">
        <f t="shared" ref="AJ8:AJ62" si="11">AF8-AA8</f>
        <v>-468753545.09000003</v>
      </c>
      <c r="AK8" s="51">
        <f>AF8/AA8%</f>
        <v>14.01393695018465</v>
      </c>
      <c r="AL8" s="51"/>
      <c r="AM8" s="51"/>
      <c r="AN8" s="64">
        <f t="shared" ref="AN8:AN63" si="12">AF8-AB8</f>
        <v>-38124131.240000024</v>
      </c>
      <c r="AO8" s="64">
        <f t="shared" ref="AO8:AO63" si="13">AF8/AB8*100</f>
        <v>66.709977409783122</v>
      </c>
      <c r="AP8" s="51">
        <f t="shared" ref="AP8:AP63" si="14">AF8-Y8</f>
        <v>23370513.497776389</v>
      </c>
      <c r="AQ8" s="51">
        <f>AF8/Y8%</f>
        <v>144.07323118850326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31469688.210000001</v>
      </c>
      <c r="W9" s="44">
        <f t="shared" si="7"/>
        <v>9.7320879506129909</v>
      </c>
      <c r="X9" s="70">
        <f t="shared" si="16"/>
        <v>0</v>
      </c>
      <c r="Y9" s="70">
        <f>Y10+Y11+Y12+Y13+Y14+Y15+Y16+Y17+Y20+Y21</f>
        <v>46231927.172223605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104075030.84</v>
      </c>
      <c r="AC9" s="70">
        <f t="shared" ref="AC9" si="17">AC10+AC11+AC12+AC13+AC14+AC15+AC16+AC17+AC20+AC21</f>
        <v>4317279.0600000005</v>
      </c>
      <c r="AD9" s="70">
        <f t="shared" ref="AD9" si="18">AD10+AD11+AD12+AD13+AD14+AD15+AD16+AD17+AD20+AD21</f>
        <v>2254691.8699999996</v>
      </c>
      <c r="AE9" s="70">
        <v>65150281.399999999</v>
      </c>
      <c r="AF9" s="70">
        <f>AF10+AF11+AF12+AF13+AF14+AF15+AF16+AF17+AF20+AF21</f>
        <v>67404973.269999996</v>
      </c>
      <c r="AG9" s="71">
        <f t="shared" si="10"/>
        <v>-2062587.1900000009</v>
      </c>
      <c r="AH9" s="72"/>
      <c r="AI9" s="72"/>
      <c r="AJ9" s="71">
        <f t="shared" si="11"/>
        <v>-426485364.24000001</v>
      </c>
      <c r="AK9" s="71">
        <f>AF9/AA9%</f>
        <v>13.647761081909245</v>
      </c>
      <c r="AL9" s="73"/>
      <c r="AM9" s="73"/>
      <c r="AN9" s="72">
        <f t="shared" si="12"/>
        <v>-36670057.570000008</v>
      </c>
      <c r="AO9" s="72">
        <f t="shared" si="13"/>
        <v>64.765749023533985</v>
      </c>
      <c r="AP9" s="71">
        <f t="shared" si="14"/>
        <v>21173046.097776391</v>
      </c>
      <c r="AQ9" s="71">
        <f>AF9/Y9%</f>
        <v>145.79745511992689</v>
      </c>
      <c r="AR9" s="23"/>
      <c r="AS9" s="23"/>
      <c r="AT9" s="49"/>
    </row>
    <row r="10" spans="1:47" s="10" customFormat="1" ht="91.5" hidden="1" customHeight="1" x14ac:dyDescent="0.3">
      <c r="A10" s="9"/>
      <c r="B10" s="126" t="s">
        <v>26</v>
      </c>
      <c r="C10" s="126"/>
      <c r="D10" s="126"/>
      <c r="E10" s="126"/>
      <c r="F10" s="126"/>
      <c r="G10" s="126"/>
      <c r="H10" s="126"/>
      <c r="I10" s="126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22129458.030000001</v>
      </c>
      <c r="W10" s="12"/>
      <c r="X10" s="46"/>
      <c r="Y10" s="47">
        <f>V10/31.84%*53.08%</f>
        <v>36891696.992223613</v>
      </c>
      <c r="Z10" s="46">
        <v>188231000</v>
      </c>
      <c r="AA10" s="46">
        <v>340259137.50999999</v>
      </c>
      <c r="AB10" s="46">
        <v>74184885.840000004</v>
      </c>
      <c r="AC10" s="46">
        <f>1978903.57+2090246.2+25642.95+9.68</f>
        <v>4094802.4000000004</v>
      </c>
      <c r="AD10" s="46">
        <v>1877212.3</v>
      </c>
      <c r="AE10" s="46">
        <v>48331802.490000002</v>
      </c>
      <c r="AF10" s="46">
        <f>AE10+AD10</f>
        <v>50209014.789999999</v>
      </c>
      <c r="AG10" s="46">
        <f t="shared" si="10"/>
        <v>-2217590.1000000006</v>
      </c>
      <c r="AH10" s="44">
        <f t="shared" si="4"/>
        <v>-138021985.21000001</v>
      </c>
      <c r="AI10" s="44">
        <f t="shared" si="5"/>
        <v>26.674147611179876</v>
      </c>
      <c r="AJ10" s="46">
        <f t="shared" si="11"/>
        <v>-290050122.71999997</v>
      </c>
      <c r="AK10" s="44">
        <f t="shared" ref="AK10:AK63" si="19">AF10/AA10%</f>
        <v>14.756110638916903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-23975871.050000004</v>
      </c>
      <c r="AO10" s="44">
        <f t="shared" si="13"/>
        <v>67.680922092795925</v>
      </c>
      <c r="AP10" s="46">
        <f t="shared" si="14"/>
        <v>13317317.797776386</v>
      </c>
      <c r="AQ10" s="44">
        <f t="shared" ref="AQ10:AQ18" si="20">AF10/Y10%</f>
        <v>136.09841477496559</v>
      </c>
      <c r="AR10" s="46">
        <f t="shared" ref="AR10:AR20" si="21">AF10-M10</f>
        <v>-8626435.3055432215</v>
      </c>
      <c r="AS10" s="46">
        <f t="shared" ref="AS10:AS20" si="22">IF(M10=0,0,AF10/M10*100)</f>
        <v>85.338031252357709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0" t="s">
        <v>25</v>
      </c>
      <c r="C11" s="120"/>
      <c r="D11" s="120"/>
      <c r="E11" s="120"/>
      <c r="F11" s="120"/>
      <c r="G11" s="120"/>
      <c r="H11" s="120"/>
      <c r="I11" s="120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5309837.24</v>
      </c>
      <c r="W11" s="12"/>
      <c r="X11" s="12"/>
      <c r="Y11" s="12">
        <f t="shared" ref="Y11:Y16" si="23">V11</f>
        <v>5309837.24</v>
      </c>
      <c r="Z11" s="12">
        <v>28603900</v>
      </c>
      <c r="AA11" s="12">
        <v>32294200</v>
      </c>
      <c r="AB11" s="12">
        <v>7763710</v>
      </c>
      <c r="AC11" s="12">
        <f>80.1-6.68+6.38+0.3</f>
        <v>80.09999999999998</v>
      </c>
      <c r="AD11" s="12">
        <v>0</v>
      </c>
      <c r="AE11" s="12">
        <v>5611791.5</v>
      </c>
      <c r="AF11" s="12">
        <f t="shared" ref="AF11:AF62" si="24">AE11+AD11</f>
        <v>5611791.5</v>
      </c>
      <c r="AG11" s="12">
        <f t="shared" si="10"/>
        <v>-80.09999999999998</v>
      </c>
      <c r="AH11" s="44">
        <f t="shared" si="4"/>
        <v>-22992108.5</v>
      </c>
      <c r="AI11" s="44">
        <f t="shared" si="5"/>
        <v>19.618973286859482</v>
      </c>
      <c r="AJ11" s="12">
        <f t="shared" si="11"/>
        <v>-26682408.5</v>
      </c>
      <c r="AK11" s="44">
        <f t="shared" si="19"/>
        <v>17.377087836205881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-2151918.5</v>
      </c>
      <c r="AO11" s="44">
        <f>AF11/AB11*100</f>
        <v>72.282343106581777</v>
      </c>
      <c r="AP11" s="12">
        <f t="shared" si="14"/>
        <v>301954.25999999978</v>
      </c>
      <c r="AQ11" s="44">
        <f t="shared" si="20"/>
        <v>105.686695210266</v>
      </c>
      <c r="AR11" s="12">
        <f t="shared" si="21"/>
        <v>-2282133.6100000003</v>
      </c>
      <c r="AS11" s="12">
        <f t="shared" si="22"/>
        <v>71.090001764660769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195035.83</v>
      </c>
      <c r="W12" s="12"/>
      <c r="X12" s="12"/>
      <c r="Y12" s="12">
        <f t="shared" si="23"/>
        <v>195035.83</v>
      </c>
      <c r="Z12" s="12">
        <v>11972000</v>
      </c>
      <c r="AA12" s="12">
        <v>27969000</v>
      </c>
      <c r="AB12" s="12">
        <v>2411738</v>
      </c>
      <c r="AC12" s="12">
        <f>-99842.1+3300-12373.5</f>
        <v>-108915.6</v>
      </c>
      <c r="AD12" s="12">
        <v>-18307.73</v>
      </c>
      <c r="AE12" s="12">
        <v>121115.31000000006</v>
      </c>
      <c r="AF12" s="12">
        <f t="shared" si="24"/>
        <v>102807.58000000006</v>
      </c>
      <c r="AG12" s="12">
        <f t="shared" si="10"/>
        <v>90607.87000000001</v>
      </c>
      <c r="AH12" s="44">
        <f t="shared" si="4"/>
        <v>-11869192.42</v>
      </c>
      <c r="AI12" s="44">
        <f t="shared" si="5"/>
        <v>0.85873354493818965</v>
      </c>
      <c r="AJ12" s="12">
        <f t="shared" si="11"/>
        <v>-27866192.420000002</v>
      </c>
      <c r="AK12" s="44">
        <f t="shared" si="19"/>
        <v>0.36757688869820182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-2308930.42</v>
      </c>
      <c r="AO12" s="44">
        <f t="shared" si="13"/>
        <v>4.2628005197911243</v>
      </c>
      <c r="AP12" s="12">
        <f t="shared" si="14"/>
        <v>-92228.249999999927</v>
      </c>
      <c r="AQ12" s="44">
        <f t="shared" si="20"/>
        <v>52.712150377702429</v>
      </c>
      <c r="AR12" s="12">
        <f t="shared" si="21"/>
        <v>102807.58000000006</v>
      </c>
      <c r="AS12" s="12">
        <f t="shared" si="22"/>
        <v>0</v>
      </c>
      <c r="AT12" s="34">
        <f>AF12</f>
        <v>102807.58000000006</v>
      </c>
    </row>
    <row r="13" spans="1:47" s="10" customFormat="1" ht="70.5" hidden="1" customHeight="1" x14ac:dyDescent="0.3">
      <c r="A13" s="9"/>
      <c r="B13" s="120" t="s">
        <v>24</v>
      </c>
      <c r="C13" s="120"/>
      <c r="D13" s="120"/>
      <c r="E13" s="120"/>
      <c r="F13" s="120"/>
      <c r="G13" s="120"/>
      <c r="H13" s="120"/>
      <c r="I13" s="120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-410132.67</v>
      </c>
      <c r="W13" s="12"/>
      <c r="X13" s="12"/>
      <c r="Y13" s="12">
        <f t="shared" si="23"/>
        <v>-410132.67</v>
      </c>
      <c r="Z13" s="12">
        <v>8000</v>
      </c>
      <c r="AA13" s="12">
        <v>0</v>
      </c>
      <c r="AB13" s="12">
        <v>0</v>
      </c>
      <c r="AC13" s="12">
        <v>28.01</v>
      </c>
      <c r="AD13" s="12">
        <v>0</v>
      </c>
      <c r="AE13" s="12">
        <v>2304.2400000000002</v>
      </c>
      <c r="AF13" s="12">
        <f t="shared" si="24"/>
        <v>2304.2400000000002</v>
      </c>
      <c r="AG13" s="12">
        <f t="shared" si="10"/>
        <v>-28.01</v>
      </c>
      <c r="AH13" s="44">
        <f t="shared" si="4"/>
        <v>-5695.76</v>
      </c>
      <c r="AI13" s="44">
        <f t="shared" si="5"/>
        <v>28.803000000000001</v>
      </c>
      <c r="AJ13" s="12">
        <f t="shared" si="11"/>
        <v>2304.2400000000002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2304.2400000000002</v>
      </c>
      <c r="AO13" s="44">
        <v>0</v>
      </c>
      <c r="AP13" s="116">
        <v>2304.2399999999998</v>
      </c>
      <c r="AQ13" s="115">
        <v>156</v>
      </c>
      <c r="AR13" s="12">
        <f t="shared" si="21"/>
        <v>-5412374.6200000001</v>
      </c>
      <c r="AS13" s="12">
        <f t="shared" si="22"/>
        <v>4.255543236409038E-2</v>
      </c>
      <c r="AT13" s="34">
        <f>AF13</f>
        <v>2304.2400000000002</v>
      </c>
      <c r="AU13" s="86" t="s">
        <v>74</v>
      </c>
    </row>
    <row r="14" spans="1:47" s="10" customFormat="1" ht="42.75" hidden="1" customHeight="1" x14ac:dyDescent="0.3">
      <c r="A14" s="9"/>
      <c r="B14" s="120" t="s">
        <v>23</v>
      </c>
      <c r="C14" s="120"/>
      <c r="D14" s="120"/>
      <c r="E14" s="120"/>
      <c r="F14" s="120"/>
      <c r="G14" s="120"/>
      <c r="H14" s="120"/>
      <c r="I14" s="120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300813.58</v>
      </c>
      <c r="W14" s="12"/>
      <c r="X14" s="12"/>
      <c r="Y14" s="12">
        <f t="shared" si="23"/>
        <v>300813.58</v>
      </c>
      <c r="Z14" s="12">
        <v>5814000</v>
      </c>
      <c r="AA14" s="12">
        <v>7692000</v>
      </c>
      <c r="AB14" s="12">
        <v>3813212</v>
      </c>
      <c r="AC14" s="12">
        <v>0</v>
      </c>
      <c r="AD14" s="12">
        <v>26291.99</v>
      </c>
      <c r="AE14" s="12">
        <v>-663092</v>
      </c>
      <c r="AF14" s="12">
        <f t="shared" si="24"/>
        <v>-636800.01</v>
      </c>
      <c r="AG14" s="12">
        <f t="shared" si="10"/>
        <v>26291.99</v>
      </c>
      <c r="AH14" s="44">
        <f t="shared" si="4"/>
        <v>-6450800.0099999998</v>
      </c>
      <c r="AI14" s="44">
        <f t="shared" si="5"/>
        <v>-10.952872549019608</v>
      </c>
      <c r="AJ14" s="12">
        <f t="shared" si="11"/>
        <v>-8328800.0099999998</v>
      </c>
      <c r="AK14" s="115">
        <v>0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-4450012.01</v>
      </c>
      <c r="AO14" s="115">
        <v>0</v>
      </c>
      <c r="AP14" s="12">
        <f t="shared" si="14"/>
        <v>-937613.59000000008</v>
      </c>
      <c r="AQ14" s="115">
        <v>0</v>
      </c>
      <c r="AR14" s="12">
        <f t="shared" si="21"/>
        <v>-4203877.87</v>
      </c>
      <c r="AS14" s="12">
        <f t="shared" si="22"/>
        <v>-17.852147752109904</v>
      </c>
      <c r="AT14" s="34">
        <f>AF14</f>
        <v>-636800.01</v>
      </c>
      <c r="AU14" s="86"/>
    </row>
    <row r="15" spans="1:47" s="10" customFormat="1" ht="99" hidden="1" customHeight="1" x14ac:dyDescent="0.3">
      <c r="A15" s="9"/>
      <c r="B15" s="120" t="s">
        <v>22</v>
      </c>
      <c r="C15" s="120"/>
      <c r="D15" s="120"/>
      <c r="E15" s="120"/>
      <c r="F15" s="120"/>
      <c r="G15" s="120"/>
      <c r="H15" s="120"/>
      <c r="I15" s="120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-274155.31</v>
      </c>
      <c r="W15" s="12"/>
      <c r="X15" s="12"/>
      <c r="Y15" s="12">
        <f t="shared" si="23"/>
        <v>-274155.31</v>
      </c>
      <c r="Z15" s="12">
        <v>8168000</v>
      </c>
      <c r="AA15" s="12">
        <v>6694000</v>
      </c>
      <c r="AB15" s="12">
        <v>3998544</v>
      </c>
      <c r="AC15" s="12">
        <v>17572.21</v>
      </c>
      <c r="AD15" s="12">
        <v>74182.38</v>
      </c>
      <c r="AE15" s="12">
        <v>3868888.8199999994</v>
      </c>
      <c r="AF15" s="12">
        <f t="shared" si="24"/>
        <v>3943071.1999999993</v>
      </c>
      <c r="AG15" s="12">
        <f t="shared" si="10"/>
        <v>56610.170000000006</v>
      </c>
      <c r="AH15" s="44">
        <f t="shared" si="4"/>
        <v>-4224928.8000000007</v>
      </c>
      <c r="AI15" s="44">
        <f t="shared" si="5"/>
        <v>48.274622918707138</v>
      </c>
      <c r="AJ15" s="12">
        <f t="shared" si="11"/>
        <v>-2750928.8000000007</v>
      </c>
      <c r="AK15" s="44">
        <f t="shared" si="19"/>
        <v>58.904559306841939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-55472.800000000745</v>
      </c>
      <c r="AO15" s="44">
        <f t="shared" si="13"/>
        <v>98.612675013704958</v>
      </c>
      <c r="AP15" s="12">
        <f t="shared" si="14"/>
        <v>4217226.5099999988</v>
      </c>
      <c r="AQ15" s="115">
        <v>1538.26</v>
      </c>
      <c r="AR15" s="12">
        <f t="shared" si="21"/>
        <v>3801246.8399999994</v>
      </c>
      <c r="AS15" s="12">
        <f t="shared" si="22"/>
        <v>2780.2495988700384</v>
      </c>
      <c r="AT15" s="34">
        <f>AF15</f>
        <v>3943071.1999999993</v>
      </c>
      <c r="AU15" s="86"/>
    </row>
    <row r="16" spans="1:47" s="10" customFormat="1" ht="65.25" hidden="1" customHeight="1" x14ac:dyDescent="0.3">
      <c r="A16" s="9"/>
      <c r="B16" s="120" t="s">
        <v>21</v>
      </c>
      <c r="C16" s="120"/>
      <c r="D16" s="120"/>
      <c r="E16" s="120"/>
      <c r="F16" s="120"/>
      <c r="G16" s="120"/>
      <c r="H16" s="120"/>
      <c r="I16" s="120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-248194.27</v>
      </c>
      <c r="W16" s="12"/>
      <c r="X16" s="12"/>
      <c r="Y16" s="12">
        <f t="shared" si="23"/>
        <v>-248194.27</v>
      </c>
      <c r="Z16" s="12">
        <v>15443000</v>
      </c>
      <c r="AA16" s="12">
        <v>14460000</v>
      </c>
      <c r="AB16" s="12">
        <v>990980</v>
      </c>
      <c r="AC16" s="12">
        <f>9687.58+14675.24</f>
        <v>24362.82</v>
      </c>
      <c r="AD16" s="12">
        <v>53092.92</v>
      </c>
      <c r="AE16" s="12">
        <v>864962.62</v>
      </c>
      <c r="AF16" s="12">
        <f t="shared" si="24"/>
        <v>918055.54</v>
      </c>
      <c r="AG16" s="12">
        <f t="shared" si="10"/>
        <v>28730.1</v>
      </c>
      <c r="AH16" s="44">
        <f t="shared" si="4"/>
        <v>-14524944.460000001</v>
      </c>
      <c r="AI16" s="44">
        <f t="shared" si="5"/>
        <v>5.9448004921323578</v>
      </c>
      <c r="AJ16" s="12">
        <f t="shared" si="11"/>
        <v>-13541944.460000001</v>
      </c>
      <c r="AK16" s="44">
        <f t="shared" si="19"/>
        <v>6.3489318118948823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-72924.459999999963</v>
      </c>
      <c r="AO16" s="44">
        <f t="shared" si="13"/>
        <v>92.641177420331388</v>
      </c>
      <c r="AP16" s="12">
        <f t="shared" si="14"/>
        <v>1166249.81</v>
      </c>
      <c r="AQ16" s="115">
        <v>469.89</v>
      </c>
      <c r="AR16" s="12">
        <f t="shared" si="21"/>
        <v>-242623.34999999986</v>
      </c>
      <c r="AS16" s="12">
        <f t="shared" si="22"/>
        <v>79.096427781158326</v>
      </c>
      <c r="AT16" s="34">
        <v>11117000</v>
      </c>
      <c r="AU16" s="86"/>
    </row>
    <row r="17" spans="1:47" s="10" customFormat="1" ht="24" hidden="1" customHeight="1" x14ac:dyDescent="0.3">
      <c r="A17" s="9"/>
      <c r="B17" s="120" t="s">
        <v>19</v>
      </c>
      <c r="C17" s="120"/>
      <c r="D17" s="120"/>
      <c r="E17" s="120"/>
      <c r="F17" s="120"/>
      <c r="G17" s="120"/>
      <c r="H17" s="120"/>
      <c r="I17" s="120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3448635.8600000003</v>
      </c>
      <c r="W17" s="12"/>
      <c r="X17" s="12">
        <f t="shared" si="33"/>
        <v>0</v>
      </c>
      <c r="Y17" s="12">
        <f>Y18+Y19</f>
        <v>3448635.8600000003</v>
      </c>
      <c r="Z17" s="12">
        <f t="shared" ref="Z17:AC17" si="34">Z18+Z19</f>
        <v>57489000</v>
      </c>
      <c r="AA17" s="12">
        <f t="shared" si="34"/>
        <v>56779000</v>
      </c>
      <c r="AB17" s="12">
        <f t="shared" si="34"/>
        <v>9421532</v>
      </c>
      <c r="AC17" s="12">
        <f t="shared" si="34"/>
        <v>211325.46000000002</v>
      </c>
      <c r="AD17" s="12">
        <f t="shared" ref="AD17" si="35">AD18+AD19</f>
        <v>73878.47</v>
      </c>
      <c r="AE17" s="12">
        <v>6009022.129999999</v>
      </c>
      <c r="AF17" s="12">
        <f t="shared" si="32"/>
        <v>6082900.5999999996</v>
      </c>
      <c r="AG17" s="12">
        <f t="shared" si="10"/>
        <v>-137446.99000000002</v>
      </c>
      <c r="AH17" s="44">
        <f t="shared" si="4"/>
        <v>-51406099.399999999</v>
      </c>
      <c r="AI17" s="44">
        <f t="shared" si="5"/>
        <v>10.580981753031015</v>
      </c>
      <c r="AJ17" s="12">
        <f t="shared" si="11"/>
        <v>-50696099.399999999</v>
      </c>
      <c r="AK17" s="44">
        <f t="shared" si="19"/>
        <v>10.713292942813364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-3338631.4000000004</v>
      </c>
      <c r="AO17" s="44">
        <f t="shared" si="13"/>
        <v>64.563816160683842</v>
      </c>
      <c r="AP17" s="12">
        <f t="shared" si="14"/>
        <v>2634264.7399999993</v>
      </c>
      <c r="AQ17" s="44">
        <f t="shared" si="20"/>
        <v>176.38570283845505</v>
      </c>
      <c r="AR17" s="12">
        <f t="shared" si="21"/>
        <v>-7568368.1500000004</v>
      </c>
      <c r="AS17" s="12">
        <f t="shared" si="22"/>
        <v>44.559232635428117</v>
      </c>
      <c r="AT17" s="34">
        <f>AT18+AT19</f>
        <v>6082900.5999999996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3456308.41-1299</f>
        <v>3455009.41</v>
      </c>
      <c r="W18" s="53"/>
      <c r="X18" s="53"/>
      <c r="Y18" s="13">
        <f>V18</f>
        <v>3455009.41</v>
      </c>
      <c r="Z18" s="66">
        <v>23363753.050000001</v>
      </c>
      <c r="AA18" s="66">
        <v>22995495</v>
      </c>
      <c r="AB18" s="16">
        <v>7700253</v>
      </c>
      <c r="AC18" s="13">
        <f>55270.62+72214.42</f>
        <v>127485.04000000001</v>
      </c>
      <c r="AD18" s="13">
        <v>1071.78</v>
      </c>
      <c r="AE18" s="13">
        <v>4557542.3199999994</v>
      </c>
      <c r="AF18" s="13">
        <f t="shared" si="24"/>
        <v>4558614.0999999996</v>
      </c>
      <c r="AG18" s="13">
        <f t="shared" si="10"/>
        <v>-126413.26000000001</v>
      </c>
      <c r="AH18" s="44">
        <f t="shared" si="4"/>
        <v>-18805138.950000003</v>
      </c>
      <c r="AI18" s="44">
        <f t="shared" si="5"/>
        <v>19.511480412604342</v>
      </c>
      <c r="AJ18" s="13">
        <f t="shared" si="11"/>
        <v>-18436880.899999999</v>
      </c>
      <c r="AK18" s="44">
        <f t="shared" si="19"/>
        <v>19.823944211681461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-3141638.9000000004</v>
      </c>
      <c r="AO18" s="44">
        <f t="shared" si="13"/>
        <v>59.200835349176181</v>
      </c>
      <c r="AP18" s="13">
        <f t="shared" si="14"/>
        <v>1103604.6899999995</v>
      </c>
      <c r="AQ18" s="44">
        <f t="shared" si="20"/>
        <v>131.9421616278608</v>
      </c>
      <c r="AR18" s="13">
        <f t="shared" si="21"/>
        <v>-5527002.4100000001</v>
      </c>
      <c r="AS18" s="13">
        <f t="shared" si="22"/>
        <v>45.199161553288128</v>
      </c>
      <c r="AT18" s="31">
        <f>AF18</f>
        <v>4558614.0999999996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-6373.55</v>
      </c>
      <c r="W19" s="53"/>
      <c r="X19" s="53"/>
      <c r="Y19" s="13">
        <f>V19</f>
        <v>-6373.55</v>
      </c>
      <c r="Z19" s="66">
        <v>34125246.950000003</v>
      </c>
      <c r="AA19" s="66">
        <v>33783505</v>
      </c>
      <c r="AB19" s="16">
        <v>1721279</v>
      </c>
      <c r="AC19" s="13">
        <f>69760.13+14080.29</f>
        <v>83840.420000000013</v>
      </c>
      <c r="AD19" s="13">
        <v>72806.69</v>
      </c>
      <c r="AE19" s="13">
        <v>1451479.8099999998</v>
      </c>
      <c r="AF19" s="13">
        <f t="shared" si="24"/>
        <v>1524286.4999999998</v>
      </c>
      <c r="AG19" s="13">
        <f t="shared" si="10"/>
        <v>-11033.73000000001</v>
      </c>
      <c r="AH19" s="44">
        <f t="shared" si="4"/>
        <v>-32600960.450000003</v>
      </c>
      <c r="AI19" s="44">
        <f t="shared" si="5"/>
        <v>4.4667413022193525</v>
      </c>
      <c r="AJ19" s="13">
        <f t="shared" si="11"/>
        <v>-32259218.5</v>
      </c>
      <c r="AK19" s="44">
        <f t="shared" si="19"/>
        <v>4.5119252724073471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-196992.50000000023</v>
      </c>
      <c r="AO19" s="44">
        <f t="shared" si="13"/>
        <v>88.555457889162639</v>
      </c>
      <c r="AP19" s="13">
        <f t="shared" si="14"/>
        <v>1530660.0499999998</v>
      </c>
      <c r="AQ19" s="115">
        <v>23915.82</v>
      </c>
      <c r="AR19" s="13">
        <f t="shared" si="21"/>
        <v>-2041365.7400000005</v>
      </c>
      <c r="AS19" s="13">
        <f t="shared" si="22"/>
        <v>42.749163333999157</v>
      </c>
      <c r="AT19" s="31">
        <f>AF19</f>
        <v>1524286.4999999998</v>
      </c>
      <c r="AU19" s="86"/>
    </row>
    <row r="20" spans="1:47" s="10" customFormat="1" ht="30.75" hidden="1" customHeight="1" x14ac:dyDescent="0.3">
      <c r="A20" s="9"/>
      <c r="B20" s="120" t="s">
        <v>18</v>
      </c>
      <c r="C20" s="120"/>
      <c r="D20" s="120"/>
      <c r="E20" s="120"/>
      <c r="F20" s="120"/>
      <c r="G20" s="120"/>
      <c r="H20" s="120"/>
      <c r="I20" s="120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1018389.92</v>
      </c>
      <c r="W20" s="12"/>
      <c r="X20" s="12"/>
      <c r="Y20" s="12">
        <f>V20</f>
        <v>1018389.92</v>
      </c>
      <c r="Z20" s="12">
        <v>7706000</v>
      </c>
      <c r="AA20" s="12">
        <v>7743000</v>
      </c>
      <c r="AB20" s="12">
        <v>1490429</v>
      </c>
      <c r="AC20" s="12">
        <f>68636.99+9386.67</f>
        <v>78023.66</v>
      </c>
      <c r="AD20" s="12">
        <v>168341.54</v>
      </c>
      <c r="AE20" s="12">
        <v>1003486.29</v>
      </c>
      <c r="AF20" s="12">
        <f t="shared" si="24"/>
        <v>1171827.83</v>
      </c>
      <c r="AG20" s="12">
        <f t="shared" si="10"/>
        <v>90317.88</v>
      </c>
      <c r="AH20" s="44">
        <f t="shared" si="4"/>
        <v>-6534172.1699999999</v>
      </c>
      <c r="AI20" s="44">
        <f t="shared" si="5"/>
        <v>15.206693874902674</v>
      </c>
      <c r="AJ20" s="12">
        <f t="shared" si="11"/>
        <v>-6571172.1699999999</v>
      </c>
      <c r="AK20" s="44">
        <f t="shared" si="19"/>
        <v>15.134028541908823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-318601.16999999993</v>
      </c>
      <c r="AO20" s="44">
        <f t="shared" si="13"/>
        <v>78.623525843901319</v>
      </c>
      <c r="AP20" s="12">
        <f t="shared" si="14"/>
        <v>153437.91000000003</v>
      </c>
      <c r="AQ20" s="44">
        <f t="shared" ref="AQ20:AQ63" si="36">AF20/Y20%</f>
        <v>115.06671531077214</v>
      </c>
      <c r="AR20" s="12">
        <f t="shared" si="21"/>
        <v>-1902191.63</v>
      </c>
      <c r="AS20" s="12">
        <f t="shared" si="22"/>
        <v>38.120377741525424</v>
      </c>
      <c r="AT20" s="34">
        <f>AF20</f>
        <v>1171827.83</v>
      </c>
      <c r="AU20" s="86"/>
    </row>
    <row r="21" spans="1:47" s="10" customFormat="1" ht="62.25" hidden="1" customHeight="1" x14ac:dyDescent="0.3">
      <c r="A21" s="9"/>
      <c r="B21" s="121" t="s">
        <v>58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16984089.449999999</v>
      </c>
      <c r="W22" s="71"/>
      <c r="X22" s="71">
        <f t="shared" ref="X22:AC22" si="38">X23+X36+X37+X45+X48+X50</f>
        <v>0</v>
      </c>
      <c r="Y22" s="71">
        <f t="shared" si="38"/>
        <v>16984089.449999999</v>
      </c>
      <c r="Z22" s="71">
        <f t="shared" si="38"/>
        <v>76980199.650000006</v>
      </c>
      <c r="AA22" s="71">
        <f t="shared" si="38"/>
        <v>83684298.329999998</v>
      </c>
      <c r="AB22" s="71">
        <f t="shared" si="38"/>
        <v>22305021.969999999</v>
      </c>
      <c r="AC22" s="71">
        <f t="shared" si="38"/>
        <v>1751070.9100000001</v>
      </c>
      <c r="AD22" s="71">
        <f t="shared" ref="AD22" si="39">AD23+AD36+AD37+AD45+AD48+AD50</f>
        <v>2931908.19</v>
      </c>
      <c r="AE22" s="71">
        <v>16341039.779999999</v>
      </c>
      <c r="AF22" s="71">
        <f>AF23+AF36+AF37+AF45+AF48+AF50</f>
        <v>19272947.969999999</v>
      </c>
      <c r="AG22" s="71">
        <f t="shared" ref="AG22" si="40">AD22-AC22</f>
        <v>1180837.2799999998</v>
      </c>
      <c r="AH22" s="72">
        <f t="shared" si="4"/>
        <v>-57707251.680000007</v>
      </c>
      <c r="AI22" s="72">
        <f t="shared" ref="AI22" si="41">AF22/Z22*100</f>
        <v>25.036240562673051</v>
      </c>
      <c r="AJ22" s="71">
        <f t="shared" si="11"/>
        <v>-64411350.359999999</v>
      </c>
      <c r="AK22" s="72">
        <f t="shared" ref="AK22" si="42">AF22/AA22%</f>
        <v>23.03054259235013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-3032074</v>
      </c>
      <c r="AO22" s="72">
        <f t="shared" ref="AO22" si="43">AF22/AB22*100</f>
        <v>86.406316908909105</v>
      </c>
      <c r="AP22" s="71">
        <f t="shared" si="14"/>
        <v>2288858.5199999996</v>
      </c>
      <c r="AQ22" s="72">
        <f t="shared" ref="AQ22" si="44">AF22/Y22%</f>
        <v>113.47648648894744</v>
      </c>
      <c r="AR22" s="12"/>
      <c r="AS22" s="12"/>
      <c r="AT22" s="34"/>
    </row>
    <row r="23" spans="1:47" s="10" customFormat="1" ht="83.25" hidden="1" customHeight="1" x14ac:dyDescent="0.3">
      <c r="A23" s="9"/>
      <c r="B23" s="120" t="s">
        <v>17</v>
      </c>
      <c r="C23" s="120"/>
      <c r="D23" s="120"/>
      <c r="E23" s="120"/>
      <c r="F23" s="120"/>
      <c r="G23" s="120"/>
      <c r="H23" s="120"/>
      <c r="I23" s="120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5788644.25</v>
      </c>
      <c r="W23" s="12"/>
      <c r="X23" s="12">
        <f t="shared" si="47"/>
        <v>0</v>
      </c>
      <c r="Y23" s="12">
        <f>Y24+Y27+Y29+Y31</f>
        <v>5788644.25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9798958.5899999999</v>
      </c>
      <c r="AC23" s="12">
        <f>AC24+AC27+AC29+AC31</f>
        <v>185457.02</v>
      </c>
      <c r="AD23" s="12">
        <f>AD24+AD27+AD29+AD31</f>
        <v>1455498.38</v>
      </c>
      <c r="AE23" s="12">
        <v>5922011.0700000003</v>
      </c>
      <c r="AF23" s="12">
        <f t="shared" si="45"/>
        <v>7377509.4499999993</v>
      </c>
      <c r="AG23" s="12">
        <f t="shared" si="10"/>
        <v>1270041.3599999999</v>
      </c>
      <c r="AH23" s="44">
        <f t="shared" si="4"/>
        <v>-39651490.549999997</v>
      </c>
      <c r="AI23" s="44">
        <f t="shared" si="5"/>
        <v>15.687149312126557</v>
      </c>
      <c r="AJ23" s="12">
        <f t="shared" si="11"/>
        <v>-42156680.549999997</v>
      </c>
      <c r="AK23" s="44">
        <f t="shared" si="19"/>
        <v>14.893772261139222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-2421449.1400000006</v>
      </c>
      <c r="AO23" s="44">
        <f t="shared" si="13"/>
        <v>75.288709328038905</v>
      </c>
      <c r="AP23" s="12">
        <f t="shared" si="14"/>
        <v>1588865.1999999993</v>
      </c>
      <c r="AQ23" s="44">
        <f t="shared" si="36"/>
        <v>127.44796763076259</v>
      </c>
      <c r="AR23" s="12">
        <f>AF23-M23</f>
        <v>-2860956.5399999991</v>
      </c>
      <c r="AS23" s="12">
        <f>IF(M23=0,0,AF23/M23*100)</f>
        <v>72.056785237218918</v>
      </c>
      <c r="AT23" s="34">
        <f>AT24+AT27+AT29+AT31</f>
        <v>7158018.6399999997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70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5342255.33</v>
      </c>
      <c r="W24" s="13"/>
      <c r="X24" s="13">
        <f t="shared" si="49"/>
        <v>0</v>
      </c>
      <c r="Y24" s="12">
        <f t="shared" si="49"/>
        <v>5342255.33</v>
      </c>
      <c r="Z24" s="12">
        <f t="shared" si="49"/>
        <v>46880510</v>
      </c>
      <c r="AA24" s="12">
        <f>AA25+AA26</f>
        <v>48200367.740000002</v>
      </c>
      <c r="AB24" s="12">
        <f>AB25+AB26</f>
        <v>9258500</v>
      </c>
      <c r="AC24" s="12">
        <f>AC25+AC26</f>
        <v>149105.76999999999</v>
      </c>
      <c r="AD24" s="12">
        <f>AD25+AD26</f>
        <v>1431286.7799999998</v>
      </c>
      <c r="AE24" s="12">
        <v>5405939.4300000006</v>
      </c>
      <c r="AF24" s="12">
        <f t="shared" ref="AF24" si="50">AF25+AF26</f>
        <v>6837226.21</v>
      </c>
      <c r="AG24" s="12">
        <f>AD24-AC24</f>
        <v>1282181.0099999998</v>
      </c>
      <c r="AH24" s="44">
        <f t="shared" si="4"/>
        <v>-40043283.789999999</v>
      </c>
      <c r="AI24" s="44">
        <f t="shared" si="5"/>
        <v>14.584368237461581</v>
      </c>
      <c r="AJ24" s="12">
        <f t="shared" si="11"/>
        <v>-41363141.530000001</v>
      </c>
      <c r="AK24" s="44">
        <f t="shared" si="19"/>
        <v>14.185008394294876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-2421273.79</v>
      </c>
      <c r="AO24" s="44">
        <f t="shared" si="13"/>
        <v>73.84809861208619</v>
      </c>
      <c r="AP24" s="12">
        <f t="shared" si="14"/>
        <v>1494970.88</v>
      </c>
      <c r="AQ24" s="44">
        <f t="shared" si="36"/>
        <v>127.98389046672541</v>
      </c>
      <c r="AR24" s="12">
        <f>AF24-M24</f>
        <v>-3030918.3999999994</v>
      </c>
      <c r="AS24" s="12">
        <f>IF(M24=0,0,AF24/M24*100)</f>
        <v>69.285833155215599</v>
      </c>
      <c r="AT24" s="31">
        <f>AF24</f>
        <v>6837226.21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71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3724421.01</v>
      </c>
      <c r="W25" s="13"/>
      <c r="X25" s="13"/>
      <c r="Y25" s="13">
        <f>V25</f>
        <v>3724421.01</v>
      </c>
      <c r="Z25" s="13">
        <v>34696660</v>
      </c>
      <c r="AA25" s="13">
        <v>36508280</v>
      </c>
      <c r="AB25" s="13">
        <v>8521500</v>
      </c>
      <c r="AC25" s="13">
        <f>40832.72+14822.4</f>
        <v>55655.12</v>
      </c>
      <c r="AD25" s="13">
        <v>742146.09</v>
      </c>
      <c r="AE25" s="13">
        <v>4574212.3600000003</v>
      </c>
      <c r="AF25" s="13">
        <f t="shared" si="24"/>
        <v>5316358.45</v>
      </c>
      <c r="AG25" s="13">
        <f>AD25-AC25</f>
        <v>686490.97</v>
      </c>
      <c r="AH25" s="44">
        <f t="shared" si="4"/>
        <v>-29380301.550000001</v>
      </c>
      <c r="AI25" s="44">
        <f t="shared" si="5"/>
        <v>15.322392558822665</v>
      </c>
      <c r="AJ25" s="13">
        <f t="shared" si="11"/>
        <v>-31191921.550000001</v>
      </c>
      <c r="AK25" s="42">
        <f t="shared" si="19"/>
        <v>14.562062222597175</v>
      </c>
      <c r="AL25" s="13"/>
      <c r="AM25" s="13"/>
      <c r="AN25" s="42">
        <f t="shared" si="12"/>
        <v>-3205141.55</v>
      </c>
      <c r="AO25" s="42">
        <f t="shared" si="13"/>
        <v>62.387589626239517</v>
      </c>
      <c r="AP25" s="13">
        <f t="shared" si="14"/>
        <v>1591937.4400000004</v>
      </c>
      <c r="AQ25" s="42">
        <f t="shared" si="36"/>
        <v>142.74321930108542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84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882257.57+735576.75</f>
        <v>1617834.3199999998</v>
      </c>
      <c r="W26" s="16"/>
      <c r="X26" s="16"/>
      <c r="Y26" s="13">
        <f>V26</f>
        <v>1617834.3199999998</v>
      </c>
      <c r="Z26" s="13">
        <v>12183850</v>
      </c>
      <c r="AA26" s="13">
        <f>6966987.74+4725100</f>
        <v>11692087.74</v>
      </c>
      <c r="AB26" s="13">
        <f>632000+105000</f>
        <v>737000</v>
      </c>
      <c r="AC26" s="13">
        <f>53940.27+39510.38</f>
        <v>93450.65</v>
      </c>
      <c r="AD26" s="13">
        <v>689140.69</v>
      </c>
      <c r="AE26" s="13">
        <v>831727.07000000007</v>
      </c>
      <c r="AF26" s="13">
        <f t="shared" si="24"/>
        <v>1520867.76</v>
      </c>
      <c r="AG26" s="13">
        <f>AD26-AC26</f>
        <v>595690.03999999992</v>
      </c>
      <c r="AH26" s="44">
        <f t="shared" si="4"/>
        <v>-10662982.24</v>
      </c>
      <c r="AI26" s="44">
        <f t="shared" si="5"/>
        <v>12.482653348490009</v>
      </c>
      <c r="AJ26" s="12">
        <f t="shared" si="11"/>
        <v>-10171219.98</v>
      </c>
      <c r="AK26" s="42">
        <f t="shared" si="19"/>
        <v>13.007666328032533</v>
      </c>
      <c r="AL26" s="13"/>
      <c r="AM26" s="13"/>
      <c r="AN26" s="42">
        <f t="shared" si="12"/>
        <v>783867.76</v>
      </c>
      <c r="AO26" s="42">
        <f t="shared" si="13"/>
        <v>206.3592618724559</v>
      </c>
      <c r="AP26" s="13">
        <f t="shared" si="14"/>
        <v>-96966.559999999823</v>
      </c>
      <c r="AQ26" s="42">
        <f t="shared" si="36"/>
        <v>94.006397391792277</v>
      </c>
      <c r="AR26" s="12"/>
      <c r="AS26" s="12"/>
      <c r="AT26" s="31"/>
      <c r="AU26" s="107" t="s">
        <v>97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72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266205.18</v>
      </c>
      <c r="W27" s="13"/>
      <c r="X27" s="13"/>
      <c r="Y27" s="12">
        <f t="shared" si="52"/>
        <v>266205.18</v>
      </c>
      <c r="Z27" s="12">
        <f t="shared" si="52"/>
        <v>100490</v>
      </c>
      <c r="AA27" s="12">
        <f t="shared" si="52"/>
        <v>549832.26</v>
      </c>
      <c r="AB27" s="12">
        <f t="shared" si="52"/>
        <v>228771.11000000002</v>
      </c>
      <c r="AC27" s="12">
        <f>AC28</f>
        <v>28503.07</v>
      </c>
      <c r="AD27" s="12">
        <f>AD28</f>
        <v>9775</v>
      </c>
      <c r="AE27" s="12">
        <v>311017.43</v>
      </c>
      <c r="AF27" s="12">
        <f t="shared" ref="AF27" si="53">AF28</f>
        <v>320792.43</v>
      </c>
      <c r="AG27" s="12">
        <f t="shared" si="10"/>
        <v>-18728.07</v>
      </c>
      <c r="AH27" s="44">
        <f t="shared" si="4"/>
        <v>220302.43</v>
      </c>
      <c r="AI27" s="44">
        <f t="shared" si="5"/>
        <v>319.22821176236442</v>
      </c>
      <c r="AJ27" s="12">
        <f t="shared" si="11"/>
        <v>-229039.83000000002</v>
      </c>
      <c r="AK27" s="44">
        <f t="shared" si="19"/>
        <v>58.343690128331133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92021.319999999978</v>
      </c>
      <c r="AO27" s="44">
        <f t="shared" si="13"/>
        <v>140.22418739848749</v>
      </c>
      <c r="AP27" s="12">
        <f t="shared" si="14"/>
        <v>54587.25</v>
      </c>
      <c r="AQ27" s="44">
        <f t="shared" si="36"/>
        <v>120.5057054111419</v>
      </c>
      <c r="AR27" s="12">
        <f>AF27-M27</f>
        <v>-12933.410000000033</v>
      </c>
      <c r="AS27" s="12">
        <f>IF(M27=0,0,AF27/M27*100)</f>
        <v>96.124540431151502</v>
      </c>
      <c r="AT27" s="31">
        <f>AF27</f>
        <v>320792.43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85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89709.99+176495.19</f>
        <v>266205.18</v>
      </c>
      <c r="W28" s="16"/>
      <c r="X28" s="16"/>
      <c r="Y28" s="16">
        <f>V28</f>
        <v>266205.18</v>
      </c>
      <c r="Z28" s="16">
        <v>100490</v>
      </c>
      <c r="AA28" s="16">
        <f>109952.06+439880.2</f>
        <v>549832.26</v>
      </c>
      <c r="AB28" s="16">
        <f>55377.79+173393.32</f>
        <v>228771.11000000002</v>
      </c>
      <c r="AC28" s="13">
        <v>28503.07</v>
      </c>
      <c r="AD28" s="13">
        <v>9775</v>
      </c>
      <c r="AE28" s="13">
        <v>311017.43</v>
      </c>
      <c r="AF28" s="13">
        <f t="shared" si="24"/>
        <v>320792.43</v>
      </c>
      <c r="AG28" s="13">
        <f>AD28-AC28</f>
        <v>-18728.07</v>
      </c>
      <c r="AH28" s="44">
        <f t="shared" si="4"/>
        <v>220302.43</v>
      </c>
      <c r="AI28" s="44">
        <f t="shared" si="5"/>
        <v>319.22821176236442</v>
      </c>
      <c r="AJ28" s="13">
        <f t="shared" si="11"/>
        <v>-229039.83000000002</v>
      </c>
      <c r="AK28" s="42">
        <f t="shared" si="19"/>
        <v>58.343690128331133</v>
      </c>
      <c r="AL28" s="16"/>
      <c r="AM28" s="16"/>
      <c r="AN28" s="42">
        <f t="shared" si="12"/>
        <v>92021.319999999978</v>
      </c>
      <c r="AO28" s="42">
        <f t="shared" si="13"/>
        <v>140.22418739848749</v>
      </c>
      <c r="AP28" s="13">
        <f t="shared" si="14"/>
        <v>54587.25</v>
      </c>
      <c r="AQ28" s="42">
        <f t="shared" si="36"/>
        <v>120.5057054111419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3" t="s">
        <v>16</v>
      </c>
      <c r="C29" s="123"/>
      <c r="D29" s="123"/>
      <c r="E29" s="123"/>
      <c r="F29" s="123"/>
      <c r="G29" s="123"/>
      <c r="H29" s="123"/>
      <c r="I29" s="123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0</v>
      </c>
      <c r="W29" s="12"/>
      <c r="X29" s="12">
        <f t="shared" si="55"/>
        <v>0</v>
      </c>
      <c r="Y29" s="12">
        <f>Y30</f>
        <v>0</v>
      </c>
      <c r="Z29" s="12">
        <f t="shared" si="54"/>
        <v>0</v>
      </c>
      <c r="AA29" s="12">
        <f t="shared" si="54"/>
        <v>60000</v>
      </c>
      <c r="AB29" s="12">
        <f t="shared" si="54"/>
        <v>60000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9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-60000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6">AF29-M29</f>
        <v>-13500</v>
      </c>
      <c r="AS29" s="12">
        <f t="shared" ref="AS29:AS38" si="57">IF(M29=0,0,AF29/M29*100)</f>
        <v>0</v>
      </c>
      <c r="AT29" s="34">
        <f t="shared" ref="AT29" si="58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0</v>
      </c>
      <c r="AF30" s="13">
        <f t="shared" si="24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9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-60000</v>
      </c>
      <c r="AO30" s="42">
        <v>0</v>
      </c>
      <c r="AP30" s="13">
        <f t="shared" si="14"/>
        <v>0</v>
      </c>
      <c r="AQ30" s="42">
        <v>0</v>
      </c>
      <c r="AR30" s="12">
        <f t="shared" si="56"/>
        <v>-13500</v>
      </c>
      <c r="AS30" s="12">
        <f t="shared" si="57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77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180183.74</v>
      </c>
      <c r="W31" s="12">
        <f t="shared" si="61"/>
        <v>0</v>
      </c>
      <c r="X31" s="12">
        <f t="shared" si="61"/>
        <v>0</v>
      </c>
      <c r="Y31" s="12">
        <f t="shared" si="61"/>
        <v>180183.74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C31" si="63">AB32+AB33+AB34+AB35</f>
        <v>251687.48</v>
      </c>
      <c r="AC31" s="12">
        <f t="shared" si="63"/>
        <v>7848.18</v>
      </c>
      <c r="AD31" s="12">
        <f t="shared" ref="AD31" si="64">AD32+AD33+AD34+AD35</f>
        <v>14436.6</v>
      </c>
      <c r="AE31" s="12">
        <v>205054.21</v>
      </c>
      <c r="AF31" s="12">
        <f t="shared" ref="AF31" si="65">AF32+AF33+AF34+AF35</f>
        <v>219490.81000000003</v>
      </c>
      <c r="AG31" s="12">
        <f t="shared" si="10"/>
        <v>6588.42</v>
      </c>
      <c r="AH31" s="44">
        <f t="shared" si="4"/>
        <v>171490.81000000003</v>
      </c>
      <c r="AI31" s="44">
        <v>0</v>
      </c>
      <c r="AJ31" s="12">
        <f t="shared" si="11"/>
        <v>-504499.18999999994</v>
      </c>
      <c r="AK31" s="44">
        <f t="shared" si="19"/>
        <v>30.316828961725996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-32196.669999999984</v>
      </c>
      <c r="AO31" s="44">
        <f t="shared" si="13"/>
        <v>87.207679142403123</v>
      </c>
      <c r="AP31" s="12">
        <f t="shared" si="14"/>
        <v>39307.070000000036</v>
      </c>
      <c r="AQ31" s="44">
        <f t="shared" si="36"/>
        <v>121.81499285118626</v>
      </c>
      <c r="AR31" s="12">
        <f t="shared" si="56"/>
        <v>196395.27000000002</v>
      </c>
      <c r="AS31" s="12">
        <f t="shared" si="57"/>
        <v>950.36015611672224</v>
      </c>
      <c r="AT31" s="34">
        <f t="shared" ref="AT31" si="66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86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165382.25</v>
      </c>
      <c r="W32" s="13"/>
      <c r="X32" s="13"/>
      <c r="Y32" s="13">
        <f>V32</f>
        <v>165382.25</v>
      </c>
      <c r="Z32" s="13"/>
      <c r="AA32" s="13">
        <v>649240</v>
      </c>
      <c r="AB32" s="13">
        <v>222000</v>
      </c>
      <c r="AC32" s="113">
        <f>2000+65</f>
        <v>2065</v>
      </c>
      <c r="AD32" s="113">
        <v>12100.11</v>
      </c>
      <c r="AE32" s="13">
        <v>170955.47</v>
      </c>
      <c r="AF32" s="13">
        <f t="shared" si="24"/>
        <v>183055.58000000002</v>
      </c>
      <c r="AG32" s="13">
        <f t="shared" si="10"/>
        <v>10035.11</v>
      </c>
      <c r="AH32" s="44"/>
      <c r="AI32" s="44"/>
      <c r="AJ32" s="13">
        <f t="shared" si="11"/>
        <v>-466184.42</v>
      </c>
      <c r="AK32" s="42">
        <f t="shared" si="19"/>
        <v>28.195363809993228</v>
      </c>
      <c r="AL32" s="12"/>
      <c r="AM32" s="12"/>
      <c r="AN32" s="42">
        <f t="shared" si="12"/>
        <v>-38944.419999999984</v>
      </c>
      <c r="AO32" s="42">
        <f t="shared" si="13"/>
        <v>82.457468468468477</v>
      </c>
      <c r="AP32" s="13">
        <f t="shared" si="14"/>
        <v>17673.330000000016</v>
      </c>
      <c r="AQ32" s="42">
        <f t="shared" si="36"/>
        <v>110.68635237457467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87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4848.1099999999997</v>
      </c>
      <c r="W33" s="13"/>
      <c r="X33" s="13"/>
      <c r="Y33" s="13">
        <f t="shared" ref="Y33:Y35" si="67">V33</f>
        <v>4848.1099999999997</v>
      </c>
      <c r="Z33" s="13"/>
      <c r="AA33" s="13">
        <v>74750</v>
      </c>
      <c r="AB33" s="13">
        <v>0</v>
      </c>
      <c r="AC33" s="113">
        <v>5783.18</v>
      </c>
      <c r="AD33" s="113">
        <v>2336.4899999999998</v>
      </c>
      <c r="AE33" s="13">
        <v>12289.74</v>
      </c>
      <c r="AF33" s="13">
        <f t="shared" si="24"/>
        <v>14626.23</v>
      </c>
      <c r="AG33" s="13">
        <f t="shared" si="10"/>
        <v>-3446.6900000000005</v>
      </c>
      <c r="AH33" s="44"/>
      <c r="AI33" s="44"/>
      <c r="AJ33" s="13">
        <f t="shared" si="11"/>
        <v>-60123.770000000004</v>
      </c>
      <c r="AK33" s="42">
        <f t="shared" si="19"/>
        <v>19.566862876254181</v>
      </c>
      <c r="AL33" s="12"/>
      <c r="AM33" s="12"/>
      <c r="AN33" s="42">
        <f t="shared" si="12"/>
        <v>14626.23</v>
      </c>
      <c r="AO33" s="42">
        <v>0</v>
      </c>
      <c r="AP33" s="13">
        <f t="shared" si="14"/>
        <v>9778.119999999999</v>
      </c>
      <c r="AQ33" s="42">
        <f t="shared" si="36"/>
        <v>301.68931810540602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88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29687.48</v>
      </c>
      <c r="AC34" s="113">
        <v>0</v>
      </c>
      <c r="AD34" s="113">
        <v>0</v>
      </c>
      <c r="AE34" s="13">
        <v>21809</v>
      </c>
      <c r="AF34" s="13">
        <f t="shared" si="24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42">
        <v>0</v>
      </c>
      <c r="AL34" s="12"/>
      <c r="AM34" s="12"/>
      <c r="AN34" s="42">
        <f t="shared" si="12"/>
        <v>-7878.48</v>
      </c>
      <c r="AO34" s="42">
        <f t="shared" si="13"/>
        <v>73.461944226994007</v>
      </c>
      <c r="AP34" s="13">
        <f t="shared" si="14"/>
        <v>21809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89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9953.3799999999992</v>
      </c>
      <c r="W35" s="13"/>
      <c r="X35" s="13"/>
      <c r="Y35" s="13">
        <f t="shared" si="67"/>
        <v>9953.3799999999992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-9953.3799999999992</v>
      </c>
      <c r="AQ35" s="42">
        <f t="shared" si="36"/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7" s="10" customFormat="1" ht="40.5" hidden="1" customHeight="1" x14ac:dyDescent="0.3">
      <c r="A36" s="9"/>
      <c r="B36" s="120" t="s">
        <v>14</v>
      </c>
      <c r="C36" s="120"/>
      <c r="D36" s="120"/>
      <c r="E36" s="120"/>
      <c r="F36" s="120"/>
      <c r="G36" s="120"/>
      <c r="H36" s="120"/>
      <c r="I36" s="120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288621.84999999998</v>
      </c>
      <c r="W36" s="12"/>
      <c r="X36" s="12"/>
      <c r="Y36" s="12">
        <f>V36</f>
        <v>288621.84999999998</v>
      </c>
      <c r="Z36" s="12">
        <v>763440</v>
      </c>
      <c r="AA36" s="12">
        <v>447000</v>
      </c>
      <c r="AB36" s="12">
        <v>312327</v>
      </c>
      <c r="AC36" s="12">
        <f>119289.4+1.54</f>
        <v>119290.93999999999</v>
      </c>
      <c r="AD36" s="12">
        <v>0</v>
      </c>
      <c r="AE36" s="12">
        <v>911328.37999999989</v>
      </c>
      <c r="AF36" s="12">
        <f t="shared" si="24"/>
        <v>911328.37999999989</v>
      </c>
      <c r="AG36" s="12">
        <f t="shared" si="10"/>
        <v>-119290.93999999999</v>
      </c>
      <c r="AH36" s="44">
        <f t="shared" si="4"/>
        <v>147888.37999999989</v>
      </c>
      <c r="AI36" s="44">
        <v>0</v>
      </c>
      <c r="AJ36" s="12">
        <f t="shared" si="11"/>
        <v>464328.37999999989</v>
      </c>
      <c r="AK36" s="44">
        <f t="shared" si="19"/>
        <v>203.87659507829974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599001.37999999989</v>
      </c>
      <c r="AO36" s="44">
        <f t="shared" si="13"/>
        <v>291.7866146698812</v>
      </c>
      <c r="AP36" s="12">
        <f t="shared" si="14"/>
        <v>622706.52999999991</v>
      </c>
      <c r="AQ36" s="44">
        <f t="shared" si="36"/>
        <v>315.75169378201957</v>
      </c>
      <c r="AR36" s="12">
        <f t="shared" si="56"/>
        <v>969102.73999999987</v>
      </c>
      <c r="AS36" s="12">
        <f t="shared" si="57"/>
        <v>-1577.3924280597828</v>
      </c>
      <c r="AT36" s="34">
        <v>745000</v>
      </c>
    </row>
    <row r="37" spans="1:47" s="10" customFormat="1" ht="57.75" hidden="1" customHeight="1" x14ac:dyDescent="0.3">
      <c r="A37" s="9"/>
      <c r="B37" s="120" t="s">
        <v>13</v>
      </c>
      <c r="C37" s="120"/>
      <c r="D37" s="120"/>
      <c r="E37" s="120"/>
      <c r="F37" s="120"/>
      <c r="G37" s="120"/>
      <c r="H37" s="120"/>
      <c r="I37" s="120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7665863.8499999996</v>
      </c>
      <c r="W37" s="12"/>
      <c r="X37" s="12">
        <f t="shared" si="70"/>
        <v>0</v>
      </c>
      <c r="Y37" s="12">
        <f t="shared" si="70"/>
        <v>7665863.8499999996</v>
      </c>
      <c r="Z37" s="12">
        <f>Z38+Z44</f>
        <v>25090600</v>
      </c>
      <c r="AA37" s="12">
        <f>AA38+AA44</f>
        <v>29480458</v>
      </c>
      <c r="AB37" s="12">
        <f>AB38+AB44</f>
        <v>8915288.8200000003</v>
      </c>
      <c r="AC37" s="12">
        <f t="shared" ref="AC37" si="71">AC38+AC44</f>
        <v>1148895.6400000001</v>
      </c>
      <c r="AD37" s="12">
        <f t="shared" ref="AD37" si="72">AD38+AD44</f>
        <v>858450.24</v>
      </c>
      <c r="AE37" s="12">
        <v>7782888.4900000002</v>
      </c>
      <c r="AF37" s="12">
        <f>AF38+AF44</f>
        <v>8641338.7299999986</v>
      </c>
      <c r="AG37" s="12">
        <f t="shared" si="10"/>
        <v>-290445.40000000014</v>
      </c>
      <c r="AH37" s="44">
        <f t="shared" si="4"/>
        <v>-16449261.270000001</v>
      </c>
      <c r="AI37" s="44">
        <v>0</v>
      </c>
      <c r="AJ37" s="12">
        <f t="shared" si="11"/>
        <v>-20839119.270000003</v>
      </c>
      <c r="AK37" s="44">
        <f t="shared" si="19"/>
        <v>29.31209118257253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-273950.09000000171</v>
      </c>
      <c r="AO37" s="44">
        <f t="shared" si="13"/>
        <v>96.92718771616866</v>
      </c>
      <c r="AP37" s="12">
        <f t="shared" si="14"/>
        <v>975474.87999999896</v>
      </c>
      <c r="AQ37" s="44">
        <f t="shared" si="36"/>
        <v>112.72491788384683</v>
      </c>
      <c r="AR37" s="12">
        <f t="shared" si="56"/>
        <v>-1854792.7300000023</v>
      </c>
      <c r="AS37" s="12">
        <f t="shared" si="57"/>
        <v>82.328796689823449</v>
      </c>
      <c r="AT37" s="34">
        <f t="shared" ref="AT37" si="73">AT38+AT44</f>
        <v>8641338.7299999986</v>
      </c>
    </row>
    <row r="38" spans="1:47" s="5" customFormat="1" ht="39" hidden="1" customHeight="1" x14ac:dyDescent="0.3">
      <c r="A38" s="4"/>
      <c r="B38" s="119" t="s">
        <v>60</v>
      </c>
      <c r="C38" s="119"/>
      <c r="D38" s="119"/>
      <c r="E38" s="119"/>
      <c r="F38" s="119"/>
      <c r="G38" s="119"/>
      <c r="H38" s="119"/>
      <c r="I38" s="119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4">S39+S40+S43+S41+S42</f>
        <v>34618925.310000002</v>
      </c>
      <c r="T38" s="13">
        <f t="shared" si="74"/>
        <v>35367638.399999999</v>
      </c>
      <c r="U38" s="13">
        <f>U39+U40+U43</f>
        <v>33924709.399999999</v>
      </c>
      <c r="V38" s="13">
        <f t="shared" ref="V38:AC38" si="75">V39+V40+V43+V41+V42</f>
        <v>7532009.1899999995</v>
      </c>
      <c r="W38" s="13"/>
      <c r="X38" s="13">
        <f t="shared" si="75"/>
        <v>0</v>
      </c>
      <c r="Y38" s="13">
        <f t="shared" si="75"/>
        <v>7532009.1899999995</v>
      </c>
      <c r="Z38" s="13">
        <f t="shared" si="75"/>
        <v>25090600</v>
      </c>
      <c r="AA38" s="13">
        <f t="shared" si="75"/>
        <v>29480458</v>
      </c>
      <c r="AB38" s="13">
        <f t="shared" si="75"/>
        <v>8915288.8200000003</v>
      </c>
      <c r="AC38" s="13">
        <f t="shared" si="75"/>
        <v>1148895.6400000001</v>
      </c>
      <c r="AD38" s="13">
        <f t="shared" ref="AD38" si="76">AD39+AD40+AD43+AD41+AD42</f>
        <v>855156.62</v>
      </c>
      <c r="AE38" s="13">
        <v>7782888.4900000002</v>
      </c>
      <c r="AF38" s="13">
        <f>AF39+AF40+AF43+AF41+AF42</f>
        <v>8638045.1099999994</v>
      </c>
      <c r="AG38" s="13">
        <f t="shared" si="10"/>
        <v>-293739.02000000014</v>
      </c>
      <c r="AH38" s="44">
        <f t="shared" si="4"/>
        <v>-16452554.890000001</v>
      </c>
      <c r="AI38" s="44">
        <v>0</v>
      </c>
      <c r="AJ38" s="12">
        <f t="shared" si="11"/>
        <v>-20842412.890000001</v>
      </c>
      <c r="AK38" s="42">
        <f t="shared" si="19"/>
        <v>29.30091896808387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-277243.71000000089</v>
      </c>
      <c r="AO38" s="42">
        <f t="shared" si="13"/>
        <v>96.890244213086518</v>
      </c>
      <c r="AP38" s="13">
        <f t="shared" si="14"/>
        <v>1106035.92</v>
      </c>
      <c r="AQ38" s="42">
        <f t="shared" si="36"/>
        <v>114.68447385152486</v>
      </c>
      <c r="AR38" s="12">
        <f t="shared" si="56"/>
        <v>-1233638.870000001</v>
      </c>
      <c r="AS38" s="12">
        <f t="shared" si="57"/>
        <v>87.503258081403843</v>
      </c>
      <c r="AT38" s="31">
        <f>AF38</f>
        <v>8638045.1099999994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90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97282.68</v>
      </c>
      <c r="W39" s="31"/>
      <c r="X39" s="31"/>
      <c r="Y39" s="31">
        <f>V39</f>
        <v>97282.68</v>
      </c>
      <c r="Z39" s="31">
        <v>360000</v>
      </c>
      <c r="AA39" s="31">
        <v>380458</v>
      </c>
      <c r="AB39" s="31">
        <v>71000</v>
      </c>
      <c r="AC39" s="31">
        <f>3930+3665</f>
        <v>7595</v>
      </c>
      <c r="AD39" s="31">
        <v>5755</v>
      </c>
      <c r="AE39" s="31">
        <v>69281</v>
      </c>
      <c r="AF39" s="31">
        <f t="shared" si="24"/>
        <v>75036</v>
      </c>
      <c r="AG39" s="31">
        <f t="shared" si="10"/>
        <v>-1840</v>
      </c>
      <c r="AH39" s="103">
        <f t="shared" si="4"/>
        <v>-284964</v>
      </c>
      <c r="AI39" s="103">
        <f>AF39/Z39*100</f>
        <v>20.843333333333334</v>
      </c>
      <c r="AJ39" s="31">
        <f t="shared" si="11"/>
        <v>-305422</v>
      </c>
      <c r="AK39" s="103">
        <f t="shared" si="19"/>
        <v>19.722544932686393</v>
      </c>
      <c r="AL39" s="31"/>
      <c r="AM39" s="31"/>
      <c r="AN39" s="103">
        <f t="shared" si="12"/>
        <v>4036</v>
      </c>
      <c r="AO39" s="103">
        <f t="shared" si="13"/>
        <v>105.68450704225351</v>
      </c>
      <c r="AP39" s="31">
        <f t="shared" si="14"/>
        <v>-22246.679999999993</v>
      </c>
      <c r="AQ39" s="103">
        <f t="shared" si="36"/>
        <v>77.131921118949435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91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7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8">T40</f>
        <v>33218079.799999997</v>
      </c>
      <c r="V40" s="31">
        <v>7078340.5099999998</v>
      </c>
      <c r="W40" s="31"/>
      <c r="X40" s="31"/>
      <c r="Y40" s="31">
        <f>V40</f>
        <v>7078340.5099999998</v>
      </c>
      <c r="Z40" s="31">
        <v>22830600</v>
      </c>
      <c r="AA40" s="31">
        <v>27500000</v>
      </c>
      <c r="AB40" s="31">
        <v>8589000</v>
      </c>
      <c r="AC40" s="31">
        <f>855719.35+171751.29</f>
        <v>1027470.64</v>
      </c>
      <c r="AD40" s="31">
        <v>808961.62</v>
      </c>
      <c r="AE40" s="31">
        <v>7201407.4900000002</v>
      </c>
      <c r="AF40" s="31">
        <f t="shared" si="24"/>
        <v>8010369.1100000003</v>
      </c>
      <c r="AG40" s="31">
        <f t="shared" si="10"/>
        <v>-218509.02000000002</v>
      </c>
      <c r="AH40" s="103">
        <f t="shared" si="4"/>
        <v>-14820230.890000001</v>
      </c>
      <c r="AI40" s="103">
        <f>AF40/Z40*100</f>
        <v>35.086108599861596</v>
      </c>
      <c r="AJ40" s="31">
        <f t="shared" si="11"/>
        <v>-19489630.890000001</v>
      </c>
      <c r="AK40" s="103">
        <f t="shared" si="19"/>
        <v>29.128614945454547</v>
      </c>
      <c r="AL40" s="31"/>
      <c r="AM40" s="31"/>
      <c r="AN40" s="103">
        <f t="shared" si="12"/>
        <v>-578630.88999999966</v>
      </c>
      <c r="AO40" s="103">
        <f t="shared" si="13"/>
        <v>93.263116893701252</v>
      </c>
      <c r="AP40" s="31">
        <f t="shared" si="14"/>
        <v>932028.60000000056</v>
      </c>
      <c r="AQ40" s="103">
        <f t="shared" si="36"/>
        <v>113.16733207004194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92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351816</v>
      </c>
      <c r="W41" s="31"/>
      <c r="X41" s="31"/>
      <c r="Y41" s="31">
        <f t="shared" ref="Y41:Y42" si="79">V41</f>
        <v>351816</v>
      </c>
      <c r="Z41" s="31">
        <v>1400000</v>
      </c>
      <c r="AA41" s="31">
        <v>1400000</v>
      </c>
      <c r="AB41" s="31">
        <v>185288.82</v>
      </c>
      <c r="AC41" s="31">
        <f>31320+8310</f>
        <v>39630</v>
      </c>
      <c r="AD41" s="31">
        <v>23940</v>
      </c>
      <c r="AE41" s="31">
        <v>433500</v>
      </c>
      <c r="AF41" s="31">
        <f t="shared" si="24"/>
        <v>457440</v>
      </c>
      <c r="AG41" s="31">
        <f t="shared" si="10"/>
        <v>-15690</v>
      </c>
      <c r="AH41" s="103">
        <f t="shared" si="4"/>
        <v>-942560</v>
      </c>
      <c r="AI41" s="103">
        <f t="shared" ref="AI41:AI42" si="80">AF41/Z41*100</f>
        <v>32.674285714285716</v>
      </c>
      <c r="AJ41" s="31">
        <f t="shared" si="11"/>
        <v>-942560</v>
      </c>
      <c r="AK41" s="103">
        <f t="shared" si="19"/>
        <v>32.674285714285716</v>
      </c>
      <c r="AL41" s="31"/>
      <c r="AM41" s="31"/>
      <c r="AN41" s="103">
        <f t="shared" si="12"/>
        <v>272151.18</v>
      </c>
      <c r="AO41" s="103">
        <f t="shared" si="13"/>
        <v>246.8794393531137</v>
      </c>
      <c r="AP41" s="31">
        <f t="shared" si="14"/>
        <v>105624</v>
      </c>
      <c r="AQ41" s="103">
        <f t="shared" si="36"/>
        <v>130.02251176751486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93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9"/>
        <v>0</v>
      </c>
      <c r="Z42" s="31">
        <v>500000</v>
      </c>
      <c r="AA42" s="31">
        <v>200000</v>
      </c>
      <c r="AB42" s="31">
        <v>70000</v>
      </c>
      <c r="AC42" s="31">
        <v>72700</v>
      </c>
      <c r="AD42" s="31">
        <v>16500</v>
      </c>
      <c r="AE42" s="31">
        <v>72700</v>
      </c>
      <c r="AF42" s="31">
        <f t="shared" si="24"/>
        <v>89200</v>
      </c>
      <c r="AG42" s="31">
        <f t="shared" si="10"/>
        <v>-56200</v>
      </c>
      <c r="AH42" s="103">
        <f t="shared" si="4"/>
        <v>-410800</v>
      </c>
      <c r="AI42" s="103">
        <f t="shared" si="80"/>
        <v>17.84</v>
      </c>
      <c r="AJ42" s="31">
        <f t="shared" si="11"/>
        <v>-110800</v>
      </c>
      <c r="AK42" s="103">
        <f t="shared" si="19"/>
        <v>44.6</v>
      </c>
      <c r="AL42" s="31"/>
      <c r="AM42" s="31"/>
      <c r="AN42" s="103">
        <f t="shared" si="12"/>
        <v>19200</v>
      </c>
      <c r="AO42" s="103">
        <f t="shared" si="13"/>
        <v>127.42857142857143</v>
      </c>
      <c r="AP42" s="31">
        <f t="shared" si="14"/>
        <v>89200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94</v>
      </c>
      <c r="J43" s="31"/>
      <c r="K43" s="31"/>
      <c r="L43" s="31"/>
      <c r="M43" s="31"/>
      <c r="N43" s="31"/>
      <c r="O43" s="31">
        <v>0</v>
      </c>
      <c r="P43" s="31">
        <f t="shared" si="77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8"/>
        <v>68665.72</v>
      </c>
      <c r="V43" s="31">
        <v>4570</v>
      </c>
      <c r="W43" s="31"/>
      <c r="X43" s="31"/>
      <c r="Y43" s="31">
        <f>V43</f>
        <v>4570</v>
      </c>
      <c r="Z43" s="31">
        <v>0</v>
      </c>
      <c r="AA43" s="31">
        <v>0</v>
      </c>
      <c r="AB43" s="31">
        <v>0</v>
      </c>
      <c r="AC43" s="31">
        <v>1500</v>
      </c>
      <c r="AD43" s="31">
        <v>0</v>
      </c>
      <c r="AE43" s="31">
        <v>6000</v>
      </c>
      <c r="AF43" s="31">
        <f t="shared" si="24"/>
        <v>6000</v>
      </c>
      <c r="AG43" s="31">
        <f t="shared" si="10"/>
        <v>-1500</v>
      </c>
      <c r="AH43" s="103">
        <f t="shared" si="4"/>
        <v>6000</v>
      </c>
      <c r="AI43" s="103">
        <v>0</v>
      </c>
      <c r="AJ43" s="31">
        <f t="shared" si="11"/>
        <v>6000</v>
      </c>
      <c r="AK43" s="103">
        <v>100</v>
      </c>
      <c r="AL43" s="31"/>
      <c r="AM43" s="31"/>
      <c r="AN43" s="103">
        <f t="shared" si="12"/>
        <v>6000</v>
      </c>
      <c r="AO43" s="103">
        <v>0</v>
      </c>
      <c r="AP43" s="31">
        <f t="shared" si="14"/>
        <v>1430</v>
      </c>
      <c r="AQ43" s="103">
        <f t="shared" si="36"/>
        <v>131.29102844638948</v>
      </c>
      <c r="AR43" s="12"/>
      <c r="AS43" s="12"/>
      <c r="AT43" s="31"/>
    </row>
    <row r="44" spans="1:47" s="5" customFormat="1" ht="28.5" hidden="1" customHeight="1" x14ac:dyDescent="0.3">
      <c r="A44" s="4"/>
      <c r="B44" s="119" t="s">
        <v>12</v>
      </c>
      <c r="C44" s="119"/>
      <c r="D44" s="119"/>
      <c r="E44" s="119"/>
      <c r="F44" s="119"/>
      <c r="G44" s="119"/>
      <c r="H44" s="119"/>
      <c r="I44" s="119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133854.66</v>
      </c>
      <c r="W44" s="13"/>
      <c r="X44" s="13"/>
      <c r="Y44" s="13">
        <f>V44</f>
        <v>133854.66</v>
      </c>
      <c r="Z44" s="13"/>
      <c r="AA44" s="13">
        <v>0</v>
      </c>
      <c r="AB44" s="13">
        <v>0</v>
      </c>
      <c r="AC44" s="13">
        <v>0</v>
      </c>
      <c r="AD44" s="13">
        <v>3293.62</v>
      </c>
      <c r="AE44" s="13">
        <v>0</v>
      </c>
      <c r="AF44" s="13">
        <f t="shared" si="24"/>
        <v>3293.62</v>
      </c>
      <c r="AG44" s="13">
        <f t="shared" si="10"/>
        <v>3293.62</v>
      </c>
      <c r="AH44" s="44">
        <f t="shared" si="4"/>
        <v>3293.62</v>
      </c>
      <c r="AI44" s="44">
        <v>0</v>
      </c>
      <c r="AJ44" s="13">
        <f t="shared" si="11"/>
        <v>3293.62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3293.62</v>
      </c>
      <c r="AO44" s="114">
        <v>0</v>
      </c>
      <c r="AP44" s="13">
        <f t="shared" si="14"/>
        <v>-130561.04000000001</v>
      </c>
      <c r="AQ44" s="114">
        <f t="shared" si="36"/>
        <v>2.4605941997088481</v>
      </c>
      <c r="AR44" s="12">
        <f t="shared" ref="AR44:AR59" si="81">AF44-M44</f>
        <v>-621153.86</v>
      </c>
      <c r="AS44" s="12">
        <f t="shared" ref="AS44:AS59" si="82">IF(M44=0,0,AF44/M44*100)</f>
        <v>0.52744547868140967</v>
      </c>
      <c r="AT44" s="31">
        <f>AF44</f>
        <v>3293.62</v>
      </c>
    </row>
    <row r="45" spans="1:47" s="10" customFormat="1" ht="60" hidden="1" customHeight="1" x14ac:dyDescent="0.3">
      <c r="A45" s="9"/>
      <c r="B45" s="120" t="s">
        <v>11</v>
      </c>
      <c r="C45" s="120"/>
      <c r="D45" s="120"/>
      <c r="E45" s="120"/>
      <c r="F45" s="120"/>
      <c r="G45" s="120"/>
      <c r="H45" s="120"/>
      <c r="I45" s="120"/>
      <c r="J45" s="12">
        <f t="shared" ref="J45:AF45" si="83">J46+J47</f>
        <v>4290634.29</v>
      </c>
      <c r="K45" s="12">
        <f t="shared" si="83"/>
        <v>4290634.29</v>
      </c>
      <c r="L45" s="12">
        <f t="shared" si="83"/>
        <v>3198289.13</v>
      </c>
      <c r="M45" s="12">
        <f t="shared" si="83"/>
        <v>3198289.13</v>
      </c>
      <c r="N45" s="12">
        <f t="shared" si="83"/>
        <v>3516712.9</v>
      </c>
      <c r="O45" s="12">
        <f t="shared" si="83"/>
        <v>4112775.06</v>
      </c>
      <c r="P45" s="12">
        <f t="shared" si="83"/>
        <v>4112775.06</v>
      </c>
      <c r="Q45" s="12">
        <v>4112775.06</v>
      </c>
      <c r="R45" s="12">
        <f t="shared" si="83"/>
        <v>4112775.06</v>
      </c>
      <c r="S45" s="12">
        <f t="shared" si="83"/>
        <v>1171237.6000000001</v>
      </c>
      <c r="T45" s="12">
        <f t="shared" si="83"/>
        <v>2218931.5799999996</v>
      </c>
      <c r="U45" s="12">
        <f t="shared" si="83"/>
        <v>2218931.5799999996</v>
      </c>
      <c r="V45" s="12">
        <f t="shared" si="83"/>
        <v>390341.44</v>
      </c>
      <c r="W45" s="12"/>
      <c r="X45" s="12">
        <f t="shared" si="83"/>
        <v>0</v>
      </c>
      <c r="Y45" s="12">
        <f t="shared" si="83"/>
        <v>390341.44</v>
      </c>
      <c r="Z45" s="12">
        <f t="shared" si="83"/>
        <v>132000</v>
      </c>
      <c r="AA45" s="12">
        <f t="shared" si="83"/>
        <v>132000</v>
      </c>
      <c r="AB45" s="12">
        <f t="shared" si="83"/>
        <v>132000</v>
      </c>
      <c r="AC45" s="12">
        <f t="shared" si="83"/>
        <v>0</v>
      </c>
      <c r="AD45" s="12">
        <f t="shared" ref="AD45" si="84">AD46+AD47</f>
        <v>0</v>
      </c>
      <c r="AE45" s="12">
        <v>391172.12</v>
      </c>
      <c r="AF45" s="12">
        <f t="shared" si="83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5">AF45/Z45*100</f>
        <v>296.34251515151516</v>
      </c>
      <c r="AJ45" s="12">
        <f t="shared" si="11"/>
        <v>259172.12</v>
      </c>
      <c r="AK45" s="44">
        <f t="shared" si="19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44">
        <v>0</v>
      </c>
      <c r="AP45" s="12">
        <f t="shared" si="14"/>
        <v>830.67999999999302</v>
      </c>
      <c r="AQ45" s="44">
        <f t="shared" si="36"/>
        <v>100.21280856062835</v>
      </c>
      <c r="AR45" s="12">
        <f t="shared" si="81"/>
        <v>-2807117.01</v>
      </c>
      <c r="AS45" s="12">
        <f t="shared" si="82"/>
        <v>12.230667838338931</v>
      </c>
      <c r="AT45" s="34">
        <f t="shared" ref="AT45" si="86">AT46+AT47</f>
        <v>391172.12</v>
      </c>
    </row>
    <row r="46" spans="1:47" s="5" customFormat="1" ht="63" hidden="1" customHeight="1" x14ac:dyDescent="0.3">
      <c r="A46" s="4"/>
      <c r="B46" s="119" t="s">
        <v>37</v>
      </c>
      <c r="C46" s="119"/>
      <c r="D46" s="119"/>
      <c r="E46" s="119"/>
      <c r="F46" s="119"/>
      <c r="G46" s="119"/>
      <c r="H46" s="119"/>
      <c r="I46" s="119"/>
      <c r="J46" s="13">
        <v>163530</v>
      </c>
      <c r="K46" s="13">
        <f t="shared" ref="K46:K49" si="87">J46</f>
        <v>163530</v>
      </c>
      <c r="L46" s="13">
        <v>0</v>
      </c>
      <c r="M46" s="13">
        <f t="shared" ref="M46:M49" si="88">L46</f>
        <v>0</v>
      </c>
      <c r="N46" s="13">
        <v>762433</v>
      </c>
      <c r="O46" s="13">
        <v>763713</v>
      </c>
      <c r="P46" s="13">
        <f t="shared" ref="P46:P49" si="89">O46</f>
        <v>763713</v>
      </c>
      <c r="Q46" s="13">
        <v>763713</v>
      </c>
      <c r="R46" s="13">
        <f t="shared" ref="R46:R48" si="90">Q46</f>
        <v>763713</v>
      </c>
      <c r="S46" s="13">
        <v>5228.8</v>
      </c>
      <c r="T46" s="13">
        <v>5228.8</v>
      </c>
      <c r="U46" s="13">
        <f t="shared" ref="U46:U49" si="91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5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f t="shared" si="36"/>
        <v>0</v>
      </c>
      <c r="AR46" s="12">
        <f t="shared" si="81"/>
        <v>0</v>
      </c>
      <c r="AS46" s="12">
        <f t="shared" si="82"/>
        <v>0</v>
      </c>
      <c r="AT46" s="31">
        <f>AF46</f>
        <v>0</v>
      </c>
    </row>
    <row r="47" spans="1:47" s="5" customFormat="1" ht="65.25" hidden="1" customHeight="1" x14ac:dyDescent="0.3">
      <c r="A47" s="4"/>
      <c r="B47" s="119" t="s">
        <v>10</v>
      </c>
      <c r="C47" s="119"/>
      <c r="D47" s="119"/>
      <c r="E47" s="119"/>
      <c r="F47" s="119"/>
      <c r="G47" s="119"/>
      <c r="H47" s="119"/>
      <c r="I47" s="119"/>
      <c r="J47" s="13">
        <v>4127104.29</v>
      </c>
      <c r="K47" s="13">
        <f t="shared" si="87"/>
        <v>4127104.29</v>
      </c>
      <c r="L47" s="13">
        <v>3198289.13</v>
      </c>
      <c r="M47" s="13">
        <f t="shared" si="88"/>
        <v>3198289.13</v>
      </c>
      <c r="N47" s="13">
        <v>2754279.9</v>
      </c>
      <c r="O47" s="13">
        <v>3349062.06</v>
      </c>
      <c r="P47" s="13">
        <f t="shared" si="89"/>
        <v>3349062.06</v>
      </c>
      <c r="Q47" s="13">
        <v>3349062.06</v>
      </c>
      <c r="R47" s="13">
        <f t="shared" si="90"/>
        <v>3349062.06</v>
      </c>
      <c r="S47" s="13">
        <v>1166008.8</v>
      </c>
      <c r="T47" s="13">
        <v>2213702.7799999998</v>
      </c>
      <c r="U47" s="13">
        <f t="shared" si="91"/>
        <v>2213702.7799999998</v>
      </c>
      <c r="V47" s="13">
        <v>385112.64</v>
      </c>
      <c r="W47" s="13"/>
      <c r="X47" s="13"/>
      <c r="Y47" s="13">
        <f>V47</f>
        <v>385112.64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4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f t="shared" si="13"/>
        <v>296.34251515151516</v>
      </c>
      <c r="AP47" s="13">
        <f t="shared" si="14"/>
        <v>6059.4799999999814</v>
      </c>
      <c r="AQ47" s="42">
        <f t="shared" si="36"/>
        <v>101.57343056826178</v>
      </c>
      <c r="AR47" s="12">
        <f t="shared" si="81"/>
        <v>-2807117.01</v>
      </c>
      <c r="AS47" s="12">
        <f t="shared" si="82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20" t="s">
        <v>9</v>
      </c>
      <c r="C48" s="120"/>
      <c r="D48" s="120"/>
      <c r="E48" s="120"/>
      <c r="F48" s="120"/>
      <c r="G48" s="120"/>
      <c r="H48" s="120"/>
      <c r="I48" s="120"/>
      <c r="J48" s="12">
        <v>2338187.02</v>
      </c>
      <c r="K48" s="12">
        <f t="shared" si="87"/>
        <v>2338187.02</v>
      </c>
      <c r="L48" s="12">
        <v>974257.27</v>
      </c>
      <c r="M48" s="12">
        <f t="shared" si="88"/>
        <v>974257.27</v>
      </c>
      <c r="N48" s="12">
        <v>2799320.03</v>
      </c>
      <c r="O48" s="12">
        <v>3055345.14</v>
      </c>
      <c r="P48" s="12">
        <f t="shared" si="89"/>
        <v>3055345.14</v>
      </c>
      <c r="Q48" s="12">
        <v>3055345.14</v>
      </c>
      <c r="R48" s="12">
        <f t="shared" si="90"/>
        <v>3055345.14</v>
      </c>
      <c r="S48" s="12">
        <v>2239812</v>
      </c>
      <c r="T48" s="12">
        <v>2273274.8299999996</v>
      </c>
      <c r="U48" s="12">
        <f t="shared" si="91"/>
        <v>2273274.8299999996</v>
      </c>
      <c r="V48" s="12">
        <v>302746.94</v>
      </c>
      <c r="W48" s="12"/>
      <c r="X48" s="12"/>
      <c r="Y48" s="12">
        <f>V48</f>
        <v>302746.94</v>
      </c>
      <c r="Z48" s="12">
        <v>1249470</v>
      </c>
      <c r="AA48" s="12">
        <v>1147080</v>
      </c>
      <c r="AB48" s="12">
        <v>202877.23</v>
      </c>
      <c r="AC48" s="12">
        <f>32427.24+2500-2500</f>
        <v>32427.240000000005</v>
      </c>
      <c r="AD48" s="12">
        <v>3150</v>
      </c>
      <c r="AE48" s="12">
        <v>240324.2</v>
      </c>
      <c r="AF48" s="12">
        <f t="shared" si="24"/>
        <v>243474.2</v>
      </c>
      <c r="AG48" s="12">
        <f t="shared" si="10"/>
        <v>-29277.240000000005</v>
      </c>
      <c r="AH48" s="44">
        <f t="shared" si="4"/>
        <v>-1005995.8</v>
      </c>
      <c r="AI48" s="44">
        <f t="shared" si="85"/>
        <v>19.486198148014758</v>
      </c>
      <c r="AJ48" s="12">
        <f t="shared" si="11"/>
        <v>-903605.8</v>
      </c>
      <c r="AK48" s="44">
        <f t="shared" si="19"/>
        <v>21.225564040868992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40596.97</v>
      </c>
      <c r="AO48" s="44">
        <f t="shared" si="13"/>
        <v>120.01060937198325</v>
      </c>
      <c r="AP48" s="12">
        <f t="shared" si="14"/>
        <v>-59272.739999999991</v>
      </c>
      <c r="AQ48" s="44">
        <f t="shared" si="36"/>
        <v>80.421688159754822</v>
      </c>
      <c r="AR48" s="12">
        <f t="shared" si="81"/>
        <v>-730783.07000000007</v>
      </c>
      <c r="AS48" s="12">
        <f t="shared" si="82"/>
        <v>24.990750133175808</v>
      </c>
      <c r="AT48" s="34">
        <f>AF48</f>
        <v>243474.2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7"/>
        <v>256536.06</v>
      </c>
      <c r="L49" s="16">
        <v>109317.03</v>
      </c>
      <c r="M49" s="16">
        <f t="shared" si="88"/>
        <v>109317.03</v>
      </c>
      <c r="N49" s="16">
        <v>210726.7</v>
      </c>
      <c r="O49" s="25">
        <f>221100.64+0.02+606.42</f>
        <v>221707.08000000002</v>
      </c>
      <c r="P49" s="16">
        <f t="shared" si="89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1"/>
        <v>278352.34000000003</v>
      </c>
      <c r="V49" s="25">
        <v>44724.25</v>
      </c>
      <c r="W49" s="25"/>
      <c r="X49" s="25"/>
      <c r="Y49" s="16">
        <f>V49</f>
        <v>44724.25</v>
      </c>
      <c r="Z49" s="25">
        <v>336190</v>
      </c>
      <c r="AA49" s="25">
        <v>159900</v>
      </c>
      <c r="AB49" s="25">
        <v>27737</v>
      </c>
      <c r="AC49" s="25">
        <v>4538.6000000000004</v>
      </c>
      <c r="AD49" s="25">
        <v>2000</v>
      </c>
      <c r="AE49" s="25">
        <v>21776.46</v>
      </c>
      <c r="AF49" s="25">
        <f t="shared" si="24"/>
        <v>23776.46</v>
      </c>
      <c r="AG49" s="16">
        <f t="shared" si="10"/>
        <v>-2538.6000000000004</v>
      </c>
      <c r="AH49" s="44">
        <f t="shared" si="4"/>
        <v>-312413.53999999998</v>
      </c>
      <c r="AI49" s="44">
        <f t="shared" si="85"/>
        <v>7.0723281477735807</v>
      </c>
      <c r="AJ49" s="12">
        <f t="shared" si="11"/>
        <v>-136123.54</v>
      </c>
      <c r="AK49" s="42">
        <f t="shared" si="19"/>
        <v>14.869580988117573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-3960.5400000000009</v>
      </c>
      <c r="AO49" s="42">
        <f t="shared" si="13"/>
        <v>85.721094566824092</v>
      </c>
      <c r="AP49" s="13">
        <f t="shared" si="14"/>
        <v>-20947.79</v>
      </c>
      <c r="AQ49" s="42">
        <f t="shared" si="36"/>
        <v>53.16234481293705</v>
      </c>
      <c r="AR49" s="12">
        <f t="shared" si="81"/>
        <v>-85540.57</v>
      </c>
      <c r="AS49" s="12">
        <f t="shared" si="82"/>
        <v>21.750005465754054</v>
      </c>
      <c r="AT49" s="31">
        <f>AF49</f>
        <v>23776.46</v>
      </c>
      <c r="AV49" s="25"/>
    </row>
    <row r="50" spans="1:48" s="10" customFormat="1" ht="36.75" hidden="1" customHeight="1" x14ac:dyDescent="0.3">
      <c r="A50" s="9"/>
      <c r="B50" s="120" t="s">
        <v>7</v>
      </c>
      <c r="C50" s="120"/>
      <c r="D50" s="120"/>
      <c r="E50" s="120"/>
      <c r="F50" s="120"/>
      <c r="G50" s="120"/>
      <c r="H50" s="120"/>
      <c r="I50" s="120"/>
      <c r="J50" s="12">
        <f t="shared" ref="J50:P50" si="92">J51+J53</f>
        <v>1294662.3799999999</v>
      </c>
      <c r="K50" s="12">
        <f t="shared" si="92"/>
        <v>4238232.71</v>
      </c>
      <c r="L50" s="12">
        <f t="shared" si="92"/>
        <v>389278.05</v>
      </c>
      <c r="M50" s="12">
        <f t="shared" si="92"/>
        <v>2028798.1400000001</v>
      </c>
      <c r="N50" s="12">
        <f t="shared" si="92"/>
        <v>2895802</v>
      </c>
      <c r="O50" s="12">
        <f t="shared" si="92"/>
        <v>4075696.4</v>
      </c>
      <c r="P50" s="12">
        <f t="shared" si="92"/>
        <v>4075696.4</v>
      </c>
      <c r="Q50" s="12">
        <v>4075696.4</v>
      </c>
      <c r="R50" s="12">
        <f t="shared" ref="R50" si="93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4">U51+U52+U53</f>
        <v>5495063.3199999994</v>
      </c>
      <c r="V50" s="12">
        <f t="shared" si="94"/>
        <v>2547871.12</v>
      </c>
      <c r="W50" s="12">
        <f t="shared" si="94"/>
        <v>0</v>
      </c>
      <c r="X50" s="12">
        <f t="shared" si="94"/>
        <v>0</v>
      </c>
      <c r="Y50" s="12">
        <f t="shared" si="94"/>
        <v>2547871.12</v>
      </c>
      <c r="Z50" s="12">
        <f t="shared" ref="Z50:AB50" si="95">Z51+Z53</f>
        <v>2715689.65</v>
      </c>
      <c r="AA50" s="12">
        <f t="shared" si="95"/>
        <v>2943570.33</v>
      </c>
      <c r="AB50" s="12">
        <f t="shared" si="95"/>
        <v>2943570.33</v>
      </c>
      <c r="AC50" s="12">
        <f>AC51+AC52+AC53</f>
        <v>265000.07</v>
      </c>
      <c r="AD50" s="12">
        <f>AD51+AD52+AD53</f>
        <v>614809.56999999995</v>
      </c>
      <c r="AE50" s="12">
        <v>1093315.52</v>
      </c>
      <c r="AF50" s="12">
        <f>AF51+AF52+AF53</f>
        <v>1708125.09</v>
      </c>
      <c r="AG50" s="12">
        <f t="shared" si="10"/>
        <v>349809.49999999994</v>
      </c>
      <c r="AH50" s="44">
        <f t="shared" si="4"/>
        <v>-1007564.5599999998</v>
      </c>
      <c r="AI50" s="44">
        <f t="shared" si="85"/>
        <v>62.898390837848503</v>
      </c>
      <c r="AJ50" s="12">
        <f t="shared" si="11"/>
        <v>-1235445.24</v>
      </c>
      <c r="AK50" s="44">
        <f t="shared" si="19"/>
        <v>58.029022530608266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-1235445.24</v>
      </c>
      <c r="AO50" s="44">
        <f t="shared" si="13"/>
        <v>58.029022530608266</v>
      </c>
      <c r="AP50" s="12">
        <f t="shared" si="14"/>
        <v>-839746.03</v>
      </c>
      <c r="AQ50" s="44">
        <f t="shared" si="36"/>
        <v>67.041267377762807</v>
      </c>
      <c r="AR50" s="12">
        <f t="shared" si="81"/>
        <v>-320673.05000000005</v>
      </c>
      <c r="AS50" s="12">
        <f t="shared" si="82"/>
        <v>84.193940063450569</v>
      </c>
      <c r="AT50" s="34">
        <f t="shared" ref="AT50" si="96">AT51+AT53</f>
        <v>4355552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78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-31269.63</v>
      </c>
      <c r="W51" s="13"/>
      <c r="X51" s="13"/>
      <c r="Y51" s="13">
        <f>V51</f>
        <v>-31269.63</v>
      </c>
      <c r="Z51" s="13">
        <v>0</v>
      </c>
      <c r="AA51" s="13">
        <v>0</v>
      </c>
      <c r="AB51" s="13">
        <v>0</v>
      </c>
      <c r="AC51" s="113">
        <v>-59.57</v>
      </c>
      <c r="AD51" s="113">
        <v>-4940.43</v>
      </c>
      <c r="AE51" s="13">
        <v>4940.4299999998839</v>
      </c>
      <c r="AF51" s="117">
        <v>0</v>
      </c>
      <c r="AG51" s="16">
        <f t="shared" si="10"/>
        <v>-4880.8600000000006</v>
      </c>
      <c r="AH51" s="44">
        <f t="shared" si="4"/>
        <v>0</v>
      </c>
      <c r="AI51" s="44">
        <v>0</v>
      </c>
      <c r="AJ51" s="13">
        <f t="shared" si="11"/>
        <v>0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0</v>
      </c>
      <c r="AO51" s="42">
        <v>0</v>
      </c>
      <c r="AP51" s="13">
        <f t="shared" si="14"/>
        <v>31269.63</v>
      </c>
      <c r="AQ51" s="42">
        <f t="shared" si="36"/>
        <v>0</v>
      </c>
      <c r="AR51" s="12">
        <f t="shared" si="81"/>
        <v>-389278.05</v>
      </c>
      <c r="AS51" s="12">
        <f t="shared" si="82"/>
        <v>0</v>
      </c>
      <c r="AT51" s="31">
        <f>AF51</f>
        <v>0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79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7">T52</f>
        <v>155286.9</v>
      </c>
      <c r="V52" s="13">
        <v>55536.9</v>
      </c>
      <c r="W52" s="13"/>
      <c r="X52" s="13"/>
      <c r="Y52" s="13">
        <f t="shared" ref="Y52:Y53" si="98">V52</f>
        <v>55536.9</v>
      </c>
      <c r="Z52" s="13"/>
      <c r="AA52" s="13">
        <v>0</v>
      </c>
      <c r="AB52" s="13">
        <v>0</v>
      </c>
      <c r="AC52" s="113">
        <f>16300+500</f>
        <v>16800</v>
      </c>
      <c r="AD52" s="113">
        <v>400</v>
      </c>
      <c r="AE52" s="13">
        <v>68205</v>
      </c>
      <c r="AF52" s="13">
        <f t="shared" si="24"/>
        <v>68605</v>
      </c>
      <c r="AG52" s="16">
        <f t="shared" si="10"/>
        <v>-16400</v>
      </c>
      <c r="AH52" s="44"/>
      <c r="AI52" s="44"/>
      <c r="AJ52" s="13">
        <f t="shared" si="11"/>
        <v>68605</v>
      </c>
      <c r="AK52" s="42">
        <v>100</v>
      </c>
      <c r="AL52" s="13"/>
      <c r="AM52" s="13"/>
      <c r="AN52" s="42">
        <f t="shared" si="12"/>
        <v>68605</v>
      </c>
      <c r="AO52" s="42">
        <v>0</v>
      </c>
      <c r="AP52" s="13">
        <f t="shared" si="14"/>
        <v>13068.099999999999</v>
      </c>
      <c r="AQ52" s="44">
        <f t="shared" si="36"/>
        <v>123.53048153569968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1639520.09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7"/>
        <v>5381046.0499999998</v>
      </c>
      <c r="V53" s="13">
        <v>2523603.85</v>
      </c>
      <c r="W53" s="13"/>
      <c r="X53" s="13"/>
      <c r="Y53" s="13">
        <f t="shared" si="98"/>
        <v>2523603.85</v>
      </c>
      <c r="Z53" s="13">
        <v>2715689.65</v>
      </c>
      <c r="AA53" s="13">
        <v>2943570.33</v>
      </c>
      <c r="AB53" s="13">
        <v>2943570.33</v>
      </c>
      <c r="AC53" s="13">
        <f>234059.64+10000+4200</f>
        <v>248259.64</v>
      </c>
      <c r="AD53" s="13">
        <v>619350</v>
      </c>
      <c r="AE53" s="13">
        <v>1020170.0900000001</v>
      </c>
      <c r="AF53" s="13">
        <f t="shared" si="24"/>
        <v>1639520.09</v>
      </c>
      <c r="AG53" s="16">
        <f t="shared" si="10"/>
        <v>371090.36</v>
      </c>
      <c r="AH53" s="44">
        <f t="shared" si="4"/>
        <v>-1076169.5599999998</v>
      </c>
      <c r="AI53" s="44">
        <f t="shared" si="85"/>
        <v>60.372144880398984</v>
      </c>
      <c r="AJ53" s="13">
        <f t="shared" si="11"/>
        <v>-1304050.24</v>
      </c>
      <c r="AK53" s="42">
        <f t="shared" si="19"/>
        <v>55.698349493827109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-1304050.24</v>
      </c>
      <c r="AO53" s="42">
        <f t="shared" si="13"/>
        <v>55.698349493827116</v>
      </c>
      <c r="AP53" s="13">
        <f t="shared" si="14"/>
        <v>-884083.76</v>
      </c>
      <c r="AQ53" s="42">
        <f t="shared" si="36"/>
        <v>64.9674111885667</v>
      </c>
      <c r="AR53" s="12">
        <f t="shared" si="81"/>
        <v>0</v>
      </c>
      <c r="AS53" s="12">
        <f t="shared" si="82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0" t="s">
        <v>1</v>
      </c>
      <c r="C54" s="120"/>
      <c r="D54" s="120"/>
      <c r="E54" s="120"/>
      <c r="F54" s="120"/>
      <c r="G54" s="120"/>
      <c r="H54" s="120"/>
      <c r="I54" s="120"/>
      <c r="J54" s="12">
        <f t="shared" ref="J54:R54" si="99">J55+J56+J57+J58+J59+J61+J62</f>
        <v>1731743649.9200001</v>
      </c>
      <c r="K54" s="12">
        <f t="shared" si="99"/>
        <v>1726065816.5200002</v>
      </c>
      <c r="L54" s="26">
        <f t="shared" si="99"/>
        <v>754564037.68999994</v>
      </c>
      <c r="M54" s="26">
        <f t="shared" si="99"/>
        <v>750829669.28999996</v>
      </c>
      <c r="N54" s="12">
        <f t="shared" si="99"/>
        <v>1949401304.4499998</v>
      </c>
      <c r="O54" s="12">
        <f t="shared" si="99"/>
        <v>1942881158.9100001</v>
      </c>
      <c r="P54" s="12">
        <f t="shared" si="99"/>
        <v>1942881158.9100001</v>
      </c>
      <c r="Q54" s="12">
        <v>1942881158.9100001</v>
      </c>
      <c r="R54" s="12">
        <f t="shared" si="99"/>
        <v>1942881158.9100001</v>
      </c>
      <c r="S54" s="12">
        <f t="shared" ref="S54:AB54" si="100">S55+S56+S57+S58+S59+S60+S61+S62</f>
        <v>2058217674.4300001</v>
      </c>
      <c r="T54" s="12">
        <f t="shared" si="100"/>
        <v>2039899297.8500004</v>
      </c>
      <c r="U54" s="12">
        <f t="shared" si="100"/>
        <v>2039899297.8500004</v>
      </c>
      <c r="V54" s="12">
        <f t="shared" si="100"/>
        <v>402787439.95999998</v>
      </c>
      <c r="W54" s="12">
        <f t="shared" si="100"/>
        <v>0</v>
      </c>
      <c r="X54" s="12">
        <f t="shared" si="100"/>
        <v>0</v>
      </c>
      <c r="Y54" s="12">
        <f t="shared" si="100"/>
        <v>402787439.95999998</v>
      </c>
      <c r="Z54" s="12">
        <f t="shared" si="100"/>
        <v>1741578685.6100001</v>
      </c>
      <c r="AA54" s="12">
        <f t="shared" si="100"/>
        <v>1652639506.0899999</v>
      </c>
      <c r="AB54" s="12">
        <f t="shared" si="100"/>
        <v>408430269.12</v>
      </c>
      <c r="AC54" s="12">
        <f>AC55+AC56+AC57+AC58+AC59+AC60+AC61+AC62</f>
        <v>81794788.680000007</v>
      </c>
      <c r="AD54" s="12">
        <f>AD55+AD56+AD57+AD58+AD59+AD60+AD61+AD62</f>
        <v>62123365.640000001</v>
      </c>
      <c r="AE54" s="12">
        <f>AE55+AE56+AE57+AE58+AE59+AE61+AE62</f>
        <v>228059973.62999997</v>
      </c>
      <c r="AF54" s="12">
        <f>AF55+AF56+AF57+AF58+AF59+AF60+AF61+AF62</f>
        <v>290183339.27000004</v>
      </c>
      <c r="AG54" s="12">
        <f t="shared" si="10"/>
        <v>-19671423.040000007</v>
      </c>
      <c r="AH54" s="44">
        <f t="shared" si="4"/>
        <v>-1451395346.3400002</v>
      </c>
      <c r="AI54" s="44">
        <f t="shared" si="85"/>
        <v>16.662086052595509</v>
      </c>
      <c r="AJ54" s="12">
        <f t="shared" si="11"/>
        <v>-1362456166.8199999</v>
      </c>
      <c r="AK54" s="44">
        <f t="shared" si="19"/>
        <v>17.55878025429444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-118246929.84999996</v>
      </c>
      <c r="AO54" s="44">
        <f t="shared" si="13"/>
        <v>71.048441119515047</v>
      </c>
      <c r="AP54" s="12">
        <f t="shared" si="14"/>
        <v>-112604100.68999994</v>
      </c>
      <c r="AQ54" s="44">
        <f t="shared" si="36"/>
        <v>72.043790466459825</v>
      </c>
      <c r="AR54" s="12">
        <f t="shared" si="81"/>
        <v>-460646330.01999992</v>
      </c>
      <c r="AS54" s="12">
        <f t="shared" si="82"/>
        <v>38.648358094906321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20" t="s">
        <v>6</v>
      </c>
      <c r="C55" s="120"/>
      <c r="D55" s="120"/>
      <c r="E55" s="120"/>
      <c r="F55" s="120"/>
      <c r="G55" s="120"/>
      <c r="H55" s="120"/>
      <c r="I55" s="120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117954229</v>
      </c>
      <c r="W55" s="12"/>
      <c r="X55" s="12"/>
      <c r="Y55" s="12">
        <f t="shared" ref="Y55:Y62" si="105">V55</f>
        <v>117954229</v>
      </c>
      <c r="Z55" s="12">
        <v>543282000</v>
      </c>
      <c r="AA55" s="12">
        <v>504630000</v>
      </c>
      <c r="AB55" s="34">
        <v>126157500</v>
      </c>
      <c r="AC55" s="12">
        <v>25457332</v>
      </c>
      <c r="AD55" s="12">
        <v>0</v>
      </c>
      <c r="AE55" s="12">
        <v>109562332</v>
      </c>
      <c r="AF55" s="12">
        <f t="shared" si="24"/>
        <v>109562332</v>
      </c>
      <c r="AG55" s="12">
        <f t="shared" si="10"/>
        <v>-25457332</v>
      </c>
      <c r="AH55" s="44">
        <f t="shared" si="4"/>
        <v>-433719668</v>
      </c>
      <c r="AI55" s="44">
        <f t="shared" si="85"/>
        <v>20.166751705375844</v>
      </c>
      <c r="AJ55" s="12">
        <f t="shared" si="11"/>
        <v>-395067668</v>
      </c>
      <c r="AK55" s="44">
        <f t="shared" si="19"/>
        <v>21.711418663178964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-16595168</v>
      </c>
      <c r="AO55" s="44">
        <f t="shared" si="13"/>
        <v>86.845674652715857</v>
      </c>
      <c r="AP55" s="12">
        <f t="shared" si="14"/>
        <v>-8391897</v>
      </c>
      <c r="AQ55" s="44">
        <f t="shared" si="36"/>
        <v>92.885463224892092</v>
      </c>
      <c r="AR55" s="12">
        <f t="shared" si="81"/>
        <v>-91926668</v>
      </c>
      <c r="AS55" s="12">
        <f t="shared" si="82"/>
        <v>54.376334191940998</v>
      </c>
      <c r="AT55" s="34">
        <v>436509000</v>
      </c>
    </row>
    <row r="56" spans="1:48" s="10" customFormat="1" ht="43.5" customHeight="1" x14ac:dyDescent="0.3">
      <c r="A56" s="9"/>
      <c r="B56" s="120" t="s">
        <v>5</v>
      </c>
      <c r="C56" s="120"/>
      <c r="D56" s="120"/>
      <c r="E56" s="120"/>
      <c r="F56" s="120"/>
      <c r="G56" s="120"/>
      <c r="H56" s="120"/>
      <c r="I56" s="120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7163769.0899999999</v>
      </c>
      <c r="W56" s="12"/>
      <c r="X56" s="12"/>
      <c r="Y56" s="12">
        <f t="shared" si="105"/>
        <v>7163769.0899999999</v>
      </c>
      <c r="Z56" s="12">
        <v>164450526.09999999</v>
      </c>
      <c r="AA56" s="12">
        <v>304597569.80000001</v>
      </c>
      <c r="AB56" s="12">
        <v>30191190.68</v>
      </c>
      <c r="AC56" s="12">
        <v>0</v>
      </c>
      <c r="AD56" s="12">
        <v>894433.23</v>
      </c>
      <c r="AE56" s="12">
        <v>6559990.0299999993</v>
      </c>
      <c r="AF56" s="12">
        <f t="shared" si="24"/>
        <v>7454423.2599999998</v>
      </c>
      <c r="AG56" s="12">
        <f t="shared" si="10"/>
        <v>894433.23</v>
      </c>
      <c r="AH56" s="44">
        <f t="shared" si="4"/>
        <v>-156996102.84</v>
      </c>
      <c r="AI56" s="44">
        <f t="shared" si="85"/>
        <v>4.5329275842310608</v>
      </c>
      <c r="AJ56" s="12">
        <f t="shared" si="11"/>
        <v>-297143146.54000002</v>
      </c>
      <c r="AK56" s="44">
        <f t="shared" si="19"/>
        <v>2.4473022765396992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-22736767.420000002</v>
      </c>
      <c r="AO56" s="44">
        <f t="shared" si="13"/>
        <v>24.690722996023286</v>
      </c>
      <c r="AP56" s="12">
        <f t="shared" si="14"/>
        <v>290654.16999999993</v>
      </c>
      <c r="AQ56" s="44">
        <f t="shared" si="36"/>
        <v>104.05727999253533</v>
      </c>
      <c r="AR56" s="12">
        <f t="shared" si="81"/>
        <v>-60797760.839999996</v>
      </c>
      <c r="AS56" s="12">
        <f t="shared" si="82"/>
        <v>10.921882366545397</v>
      </c>
      <c r="AT56" s="34" t="e">
        <f>#REF!</f>
        <v>#REF!</v>
      </c>
    </row>
    <row r="57" spans="1:48" s="10" customFormat="1" ht="45" customHeight="1" x14ac:dyDescent="0.3">
      <c r="A57" s="9"/>
      <c r="B57" s="120" t="s">
        <v>4</v>
      </c>
      <c r="C57" s="120"/>
      <c r="D57" s="120"/>
      <c r="E57" s="120"/>
      <c r="F57" s="120"/>
      <c r="G57" s="120"/>
      <c r="H57" s="120"/>
      <c r="I57" s="120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276846592.73000002</v>
      </c>
      <c r="W57" s="12"/>
      <c r="X57" s="12"/>
      <c r="Y57" s="12">
        <f t="shared" si="105"/>
        <v>276846592.73000002</v>
      </c>
      <c r="Z57" s="12">
        <v>1032066181.7</v>
      </c>
      <c r="AA57" s="12">
        <v>841614535.71000004</v>
      </c>
      <c r="AB57" s="12">
        <v>251628884.74000001</v>
      </c>
      <c r="AC57" s="12">
        <v>56186558.780000001</v>
      </c>
      <c r="AD57" s="12">
        <v>6755423.4000000004</v>
      </c>
      <c r="AE57" s="12">
        <v>168512173.62</v>
      </c>
      <c r="AF57" s="12">
        <f t="shared" si="24"/>
        <v>175267597.02000001</v>
      </c>
      <c r="AG57" s="12">
        <f t="shared" si="10"/>
        <v>-49431135.380000003</v>
      </c>
      <c r="AH57" s="44">
        <f t="shared" si="4"/>
        <v>-856798584.68000007</v>
      </c>
      <c r="AI57" s="44">
        <f t="shared" si="85"/>
        <v>16.98220522363232</v>
      </c>
      <c r="AJ57" s="12">
        <f t="shared" si="11"/>
        <v>-666346938.69000006</v>
      </c>
      <c r="AK57" s="44">
        <f t="shared" si="19"/>
        <v>20.825162777415834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-76361287.719999999</v>
      </c>
      <c r="AO57" s="44">
        <f t="shared" si="13"/>
        <v>69.653210600642439</v>
      </c>
      <c r="AP57" s="12">
        <f t="shared" si="14"/>
        <v>-101578995.71000001</v>
      </c>
      <c r="AQ57" s="44">
        <f t="shared" si="36"/>
        <v>63.308562078252891</v>
      </c>
      <c r="AR57" s="12">
        <f t="shared" si="81"/>
        <v>-309231085.10000002</v>
      </c>
      <c r="AS57" s="12">
        <f t="shared" si="82"/>
        <v>36.175041024485175</v>
      </c>
      <c r="AT57" s="34" t="e">
        <f>#REF!</f>
        <v>#REF!</v>
      </c>
    </row>
    <row r="58" spans="1:48" s="10" customFormat="1" ht="27" customHeight="1" x14ac:dyDescent="0.3">
      <c r="A58" s="9"/>
      <c r="B58" s="120" t="s">
        <v>3</v>
      </c>
      <c r="C58" s="120"/>
      <c r="D58" s="120"/>
      <c r="E58" s="120"/>
      <c r="F58" s="120"/>
      <c r="G58" s="120"/>
      <c r="H58" s="120"/>
      <c r="I58" s="120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1421137.09</v>
      </c>
      <c r="W58" s="12"/>
      <c r="X58" s="12"/>
      <c r="Y58" s="12">
        <f t="shared" si="105"/>
        <v>1421137.09</v>
      </c>
      <c r="Z58" s="12">
        <v>1779977.81</v>
      </c>
      <c r="AA58" s="12">
        <v>1797400.58</v>
      </c>
      <c r="AB58" s="12">
        <v>452693.7</v>
      </c>
      <c r="AC58" s="12">
        <v>150897.9</v>
      </c>
      <c r="AD58" s="12">
        <v>0</v>
      </c>
      <c r="AE58" s="12">
        <v>452693.69999999995</v>
      </c>
      <c r="AF58" s="12">
        <f t="shared" si="24"/>
        <v>452693.69999999995</v>
      </c>
      <c r="AG58" s="12">
        <f t="shared" si="10"/>
        <v>-150897.9</v>
      </c>
      <c r="AH58" s="44">
        <f t="shared" si="4"/>
        <v>-1327284.1100000001</v>
      </c>
      <c r="AI58" s="44">
        <f t="shared" si="85"/>
        <v>25.432547386644107</v>
      </c>
      <c r="AJ58" s="12">
        <f t="shared" si="11"/>
        <v>-1344706.8800000001</v>
      </c>
      <c r="AK58" s="44">
        <f t="shared" si="19"/>
        <v>25.186021693617121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0</v>
      </c>
      <c r="AO58" s="44">
        <f t="shared" si="13"/>
        <v>99.999999999999986</v>
      </c>
      <c r="AP58" s="12">
        <f t="shared" si="14"/>
        <v>-968443.39000000013</v>
      </c>
      <c r="AQ58" s="44">
        <f t="shared" si="36"/>
        <v>31.85433011251574</v>
      </c>
      <c r="AR58" s="12">
        <f t="shared" si="81"/>
        <v>-76706.730000000098</v>
      </c>
      <c r="AS58" s="12">
        <f t="shared" si="82"/>
        <v>85.510640782819152</v>
      </c>
      <c r="AT58" s="34" t="e">
        <f>#REF!</f>
        <v>#REF!</v>
      </c>
    </row>
    <row r="59" spans="1:48" s="10" customFormat="1" ht="39" customHeight="1" x14ac:dyDescent="0.3">
      <c r="A59" s="9"/>
      <c r="B59" s="120" t="s">
        <v>2</v>
      </c>
      <c r="C59" s="120"/>
      <c r="D59" s="120"/>
      <c r="E59" s="120"/>
      <c r="F59" s="120"/>
      <c r="G59" s="120"/>
      <c r="H59" s="120"/>
      <c r="I59" s="120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2043.4</v>
      </c>
      <c r="W59" s="12"/>
      <c r="X59" s="12"/>
      <c r="Y59" s="12">
        <f t="shared" si="105"/>
        <v>2043.4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-2043.4</v>
      </c>
      <c r="AQ59" s="44">
        <f t="shared" si="36"/>
        <v>0</v>
      </c>
      <c r="AR59" s="12">
        <f t="shared" si="81"/>
        <v>-15145.1</v>
      </c>
      <c r="AS59" s="12">
        <f t="shared" si="82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5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-115369.52</v>
      </c>
      <c r="AE60" s="12">
        <v>0</v>
      </c>
      <c r="AF60" s="12">
        <f t="shared" si="24"/>
        <v>-115369.52</v>
      </c>
      <c r="AG60" s="12">
        <f>AD60-AC60</f>
        <v>-115369.52</v>
      </c>
      <c r="AH60" s="44">
        <f t="shared" si="4"/>
        <v>-115369.52</v>
      </c>
      <c r="AI60" s="44">
        <v>0</v>
      </c>
      <c r="AJ60" s="12">
        <f t="shared" si="11"/>
        <v>-115369.52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-115369.52</v>
      </c>
      <c r="AO60" s="44">
        <v>0</v>
      </c>
      <c r="AP60" s="12">
        <f>AF60-Y60</f>
        <v>-115369.52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0.14000000000000001</v>
      </c>
      <c r="W61" s="12"/>
      <c r="X61" s="12"/>
      <c r="Y61" s="12">
        <f t="shared" si="105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0" t="s">
        <v>0</v>
      </c>
      <c r="C62" s="120"/>
      <c r="D62" s="120"/>
      <c r="E62" s="120"/>
      <c r="F62" s="120"/>
      <c r="G62" s="120"/>
      <c r="H62" s="120"/>
      <c r="I62" s="120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-600331.49</v>
      </c>
      <c r="W62" s="12"/>
      <c r="X62" s="12"/>
      <c r="Y62" s="12">
        <f t="shared" si="105"/>
        <v>-600331.49</v>
      </c>
      <c r="Z62" s="12">
        <v>0</v>
      </c>
      <c r="AA62" s="12">
        <v>0</v>
      </c>
      <c r="AB62" s="12">
        <v>0</v>
      </c>
      <c r="AC62" s="12">
        <v>0</v>
      </c>
      <c r="AD62" s="12">
        <v>54588878.530000001</v>
      </c>
      <c r="AE62" s="12">
        <v>-57027215.719999999</v>
      </c>
      <c r="AF62" s="12">
        <f t="shared" si="24"/>
        <v>-2438337.1899999976</v>
      </c>
      <c r="AG62" s="12">
        <f t="shared" si="10"/>
        <v>54588878.530000001</v>
      </c>
      <c r="AH62" s="44">
        <f t="shared" si="4"/>
        <v>-2438337.1899999976</v>
      </c>
      <c r="AI62" s="44">
        <v>0</v>
      </c>
      <c r="AJ62" s="12">
        <f t="shared" si="11"/>
        <v>-2438337.1899999976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-2438337.1899999976</v>
      </c>
      <c r="AO62" s="12">
        <v>0</v>
      </c>
      <c r="AP62" s="12">
        <f t="shared" si="14"/>
        <v>-1838005.6999999976</v>
      </c>
      <c r="AQ62" s="44">
        <f t="shared" si="36"/>
        <v>406.16513220054429</v>
      </c>
      <c r="AR62" s="12">
        <f>AF62-M62</f>
        <v>1516405.2700000023</v>
      </c>
      <c r="AS62" s="12">
        <f>IF(M62=0,0,AF62/M62*100)</f>
        <v>61.656029808828507</v>
      </c>
      <c r="AT62" s="34">
        <f>AF62</f>
        <v>-2438337.1899999976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6">J54+J7</f>
        <v>2092393430.8699999</v>
      </c>
      <c r="K63" s="13">
        <f t="shared" si="106"/>
        <v>2071113089.6151345</v>
      </c>
      <c r="L63" s="28">
        <f t="shared" si="106"/>
        <v>881017080.54999995</v>
      </c>
      <c r="M63" s="26">
        <f t="shared" si="106"/>
        <v>871446760.30554318</v>
      </c>
      <c r="N63" s="12">
        <f t="shared" si="106"/>
        <v>2309803775.2699995</v>
      </c>
      <c r="O63" s="12">
        <f t="shared" si="106"/>
        <v>2328450949.6999998</v>
      </c>
      <c r="P63" s="12">
        <f t="shared" si="106"/>
        <v>2327457942.815587</v>
      </c>
      <c r="Q63" s="12">
        <f t="shared" si="106"/>
        <v>2328450949.6999998</v>
      </c>
      <c r="R63" s="12">
        <f t="shared" si="106"/>
        <v>2324234116.085587</v>
      </c>
      <c r="S63" s="12">
        <f t="shared" si="106"/>
        <v>2468054121.4099998</v>
      </c>
      <c r="T63" s="12">
        <f t="shared" si="106"/>
        <v>2473502940.9500003</v>
      </c>
      <c r="U63" s="12">
        <f t="shared" si="106"/>
        <v>2610269494.995842</v>
      </c>
      <c r="V63" s="12">
        <f t="shared" si="106"/>
        <v>451241217.62</v>
      </c>
      <c r="W63" s="12"/>
      <c r="X63" s="12">
        <f t="shared" ref="X63:AF63" si="107">X54+X7</f>
        <v>0</v>
      </c>
      <c r="Y63" s="12">
        <f t="shared" si="107"/>
        <v>466003456.58222359</v>
      </c>
      <c r="Z63" s="12">
        <f t="shared" si="107"/>
        <v>2141993785.2600002</v>
      </c>
      <c r="AA63" s="12">
        <f t="shared" si="107"/>
        <v>2230214141.9299998</v>
      </c>
      <c r="AB63" s="12">
        <f t="shared" si="107"/>
        <v>534810321.93000001</v>
      </c>
      <c r="AC63" s="12">
        <f t="shared" si="107"/>
        <v>87863138.650000006</v>
      </c>
      <c r="AD63" s="12">
        <f t="shared" si="107"/>
        <v>67309965.700000003</v>
      </c>
      <c r="AE63" s="12">
        <f t="shared" si="107"/>
        <v>309551294.80999994</v>
      </c>
      <c r="AF63" s="12">
        <f t="shared" si="107"/>
        <v>376861260.51000005</v>
      </c>
      <c r="AG63" s="12">
        <f t="shared" si="10"/>
        <v>-20553172.950000003</v>
      </c>
      <c r="AH63" s="12">
        <f t="shared" si="4"/>
        <v>-1765132524.7500002</v>
      </c>
      <c r="AI63" s="12">
        <f>AF63/Z63*100</f>
        <v>17.593947428949043</v>
      </c>
      <c r="AJ63" s="12">
        <f>AF63-AA63</f>
        <v>-1853352881.4199998</v>
      </c>
      <c r="AK63" s="12">
        <f t="shared" si="19"/>
        <v>16.897985418739609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-157949061.41999996</v>
      </c>
      <c r="AO63" s="12">
        <f t="shared" si="13"/>
        <v>70.466340131581546</v>
      </c>
      <c r="AP63" s="12">
        <f t="shared" si="14"/>
        <v>-89142196.072223544</v>
      </c>
      <c r="AQ63" s="12">
        <f t="shared" si="36"/>
        <v>80.870915266162854</v>
      </c>
      <c r="AR63" s="12">
        <f>AF63-M63</f>
        <v>-494585499.79554313</v>
      </c>
      <c r="AS63" s="12">
        <f>IF(M63=0,0,AF63/M63*100)</f>
        <v>43.245471516569353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73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466003456.58222365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298467281.02999997</v>
      </c>
      <c r="AF65" s="109">
        <v>1229277981.27</v>
      </c>
      <c r="AG65" s="95"/>
      <c r="AJ65" s="89"/>
      <c r="AK65" s="118"/>
      <c r="AL65" s="118"/>
      <c r="AM65" s="118"/>
      <c r="AN65" s="118"/>
      <c r="AO65" s="118"/>
      <c r="AP65" s="118"/>
    </row>
    <row r="66" spans="1:44" s="78" customFormat="1" ht="18" customHeight="1" x14ac:dyDescent="0.3">
      <c r="I66" s="78" t="s">
        <v>76</v>
      </c>
      <c r="O66" s="78" t="s">
        <v>40</v>
      </c>
      <c r="Q66" s="88"/>
      <c r="V66" s="88">
        <f>V63-V10+Y10</f>
        <v>466003456.58222365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8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2024-03-07T10:58:18Z</cp:lastPrinted>
  <dcterms:created xsi:type="dcterms:W3CDTF">2018-12-30T09:36:16Z</dcterms:created>
  <dcterms:modified xsi:type="dcterms:W3CDTF">2024-03-15T11:42:03Z</dcterms:modified>
</cp:coreProperties>
</file>